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mateLocator\Melissa\"/>
    </mc:Choice>
  </mc:AlternateContent>
  <xr:revisionPtr revIDLastSave="0" documentId="8_{46095024-8D3B-4C3E-ADBA-75EA17BB36F7}" xr6:coauthVersionLast="45" xr6:coauthVersionMax="45" xr10:uidLastSave="{00000000-0000-0000-0000-000000000000}"/>
  <bookViews>
    <workbookView xWindow="1140" yWindow="960" windowWidth="17715" windowHeight="9810"/>
  </bookViews>
  <sheets>
    <sheet name="inmatelocatorreport" sheetId="1" r:id="rId1"/>
  </sheets>
  <calcPr calcId="0"/>
</workbook>
</file>

<file path=xl/calcChain.xml><?xml version="1.0" encoding="utf-8"?>
<calcChain xmlns="http://schemas.openxmlformats.org/spreadsheetml/2006/main">
  <c r="A184" i="1" l="1"/>
  <c r="G184" i="1"/>
  <c r="H184" i="1"/>
  <c r="I184" i="1"/>
  <c r="J184" i="1"/>
  <c r="K184" i="1"/>
  <c r="M184" i="1"/>
  <c r="A4343" i="1"/>
  <c r="G4343" i="1"/>
  <c r="H4343" i="1"/>
  <c r="I4343" i="1"/>
  <c r="J4343" i="1"/>
  <c r="K4343" i="1"/>
  <c r="M4343" i="1"/>
  <c r="A1874" i="1"/>
  <c r="G1874" i="1"/>
  <c r="H1874" i="1"/>
  <c r="I1874" i="1"/>
  <c r="J1874" i="1"/>
  <c r="K1874" i="1"/>
  <c r="M1874" i="1"/>
  <c r="A1875" i="1"/>
  <c r="G1875" i="1"/>
  <c r="H1875" i="1"/>
  <c r="I1875" i="1"/>
  <c r="J1875" i="1"/>
  <c r="K1875" i="1"/>
  <c r="M1875" i="1"/>
  <c r="A185" i="1"/>
  <c r="G185" i="1"/>
  <c r="H185" i="1"/>
  <c r="I185" i="1"/>
  <c r="J185" i="1"/>
  <c r="M185" i="1"/>
  <c r="A4344" i="1"/>
  <c r="G4344" i="1"/>
  <c r="H4344" i="1"/>
  <c r="I4344" i="1"/>
  <c r="J4344" i="1"/>
  <c r="K4344" i="1"/>
  <c r="M4344" i="1"/>
  <c r="A4781" i="1"/>
  <c r="G4781" i="1"/>
  <c r="H4781" i="1"/>
  <c r="I4781" i="1"/>
  <c r="J4781" i="1"/>
  <c r="K4781" i="1"/>
  <c r="M4781" i="1"/>
  <c r="A1876" i="1"/>
  <c r="G1876" i="1"/>
  <c r="H1876" i="1"/>
  <c r="I1876" i="1"/>
  <c r="J1876" i="1"/>
  <c r="A4" i="1"/>
  <c r="G4" i="1"/>
  <c r="H4" i="1"/>
  <c r="I4" i="1"/>
  <c r="J4" i="1"/>
  <c r="A186" i="1"/>
  <c r="G186" i="1"/>
  <c r="H186" i="1"/>
  <c r="I186" i="1"/>
  <c r="J186" i="1"/>
  <c r="K186" i="1"/>
  <c r="M186" i="1"/>
  <c r="A2909" i="1"/>
  <c r="G2909" i="1"/>
  <c r="H2909" i="1"/>
  <c r="I2909" i="1"/>
  <c r="J2909" i="1"/>
  <c r="A2910" i="1"/>
  <c r="G2910" i="1"/>
  <c r="H2910" i="1"/>
  <c r="I2910" i="1"/>
  <c r="J2910" i="1"/>
  <c r="A187" i="1"/>
  <c r="G187" i="1"/>
  <c r="H187" i="1"/>
  <c r="I187" i="1"/>
  <c r="J187" i="1"/>
  <c r="K187" i="1"/>
  <c r="M187" i="1"/>
  <c r="A188" i="1"/>
  <c r="G188" i="1"/>
  <c r="H188" i="1"/>
  <c r="I188" i="1"/>
  <c r="J188" i="1"/>
  <c r="K188" i="1"/>
  <c r="M188" i="1"/>
  <c r="A1877" i="1"/>
  <c r="G1877" i="1"/>
  <c r="H1877" i="1"/>
  <c r="I1877" i="1"/>
  <c r="J1877" i="1"/>
  <c r="K1877" i="1"/>
  <c r="M1877" i="1"/>
  <c r="A2911" i="1"/>
  <c r="G2911" i="1"/>
  <c r="H2911" i="1"/>
  <c r="I2911" i="1"/>
  <c r="J2911" i="1"/>
  <c r="K2911" i="1"/>
  <c r="M2911" i="1"/>
  <c r="A4345" i="1"/>
  <c r="G4345" i="1"/>
  <c r="H4345" i="1"/>
  <c r="I4345" i="1"/>
  <c r="J4345" i="1"/>
  <c r="K4345" i="1"/>
  <c r="M4345" i="1"/>
  <c r="A2912" i="1"/>
  <c r="G2912" i="1"/>
  <c r="H2912" i="1"/>
  <c r="I2912" i="1"/>
  <c r="J2912" i="1"/>
  <c r="K2912" i="1"/>
  <c r="M2912" i="1"/>
  <c r="A189" i="1"/>
  <c r="G189" i="1"/>
  <c r="H189" i="1"/>
  <c r="I189" i="1"/>
  <c r="J189" i="1"/>
  <c r="K189" i="1"/>
  <c r="M189" i="1"/>
  <c r="A1878" i="1"/>
  <c r="G1878" i="1"/>
  <c r="H1878" i="1"/>
  <c r="I1878" i="1"/>
  <c r="J1878" i="1"/>
  <c r="K1878" i="1"/>
  <c r="M1878" i="1"/>
  <c r="A2913" i="1"/>
  <c r="G2913" i="1"/>
  <c r="H2913" i="1"/>
  <c r="I2913" i="1"/>
  <c r="J2913" i="1"/>
  <c r="A2914" i="1"/>
  <c r="G2914" i="1"/>
  <c r="H2914" i="1"/>
  <c r="I2914" i="1"/>
  <c r="J2914" i="1"/>
  <c r="K2914" i="1"/>
  <c r="M2914" i="1"/>
  <c r="A4180" i="1"/>
  <c r="G4180" i="1"/>
  <c r="H4180" i="1"/>
  <c r="I4180" i="1"/>
  <c r="J4180" i="1"/>
  <c r="A190" i="1"/>
  <c r="G190" i="1"/>
  <c r="H190" i="1"/>
  <c r="I190" i="1"/>
  <c r="J190" i="1"/>
  <c r="K190" i="1"/>
  <c r="M190" i="1"/>
  <c r="A2915" i="1"/>
  <c r="G2915" i="1"/>
  <c r="H2915" i="1"/>
  <c r="I2915" i="1"/>
  <c r="J2915" i="1"/>
  <c r="K2915" i="1"/>
  <c r="M2915" i="1"/>
  <c r="A191" i="1"/>
  <c r="G191" i="1"/>
  <c r="H191" i="1"/>
  <c r="I191" i="1"/>
  <c r="J191" i="1"/>
  <c r="K191" i="1"/>
  <c r="M191" i="1"/>
  <c r="A2916" i="1"/>
  <c r="G2916" i="1"/>
  <c r="H2916" i="1"/>
  <c r="I2916" i="1"/>
  <c r="J2916" i="1"/>
  <c r="K2916" i="1"/>
  <c r="M2916" i="1"/>
  <c r="A192" i="1"/>
  <c r="G192" i="1"/>
  <c r="H192" i="1"/>
  <c r="I192" i="1"/>
  <c r="J192" i="1"/>
  <c r="M192" i="1"/>
  <c r="A4636" i="1"/>
  <c r="G4636" i="1"/>
  <c r="H4636" i="1"/>
  <c r="I4636" i="1"/>
  <c r="J4636" i="1"/>
  <c r="M4636" i="1"/>
  <c r="A1879" i="1"/>
  <c r="G1879" i="1"/>
  <c r="H1879" i="1"/>
  <c r="I1879" i="1"/>
  <c r="J1879" i="1"/>
  <c r="K1879" i="1"/>
  <c r="M1879" i="1"/>
  <c r="A2917" i="1"/>
  <c r="G2917" i="1"/>
  <c r="H2917" i="1"/>
  <c r="I2917" i="1"/>
  <c r="J2917" i="1"/>
  <c r="K2917" i="1"/>
  <c r="M2917" i="1"/>
  <c r="A4346" i="1"/>
  <c r="G4346" i="1"/>
  <c r="H4346" i="1"/>
  <c r="I4346" i="1"/>
  <c r="J4346" i="1"/>
  <c r="K4346" i="1"/>
  <c r="M4346" i="1"/>
  <c r="A2918" i="1"/>
  <c r="G2918" i="1"/>
  <c r="H2918" i="1"/>
  <c r="I2918" i="1"/>
  <c r="J2918" i="1"/>
  <c r="A193" i="1"/>
  <c r="G193" i="1"/>
  <c r="H193" i="1"/>
  <c r="I193" i="1"/>
  <c r="J193" i="1"/>
  <c r="L193" i="1"/>
  <c r="M193" i="1"/>
  <c r="A194" i="1"/>
  <c r="G194" i="1"/>
  <c r="H194" i="1"/>
  <c r="I194" i="1"/>
  <c r="J194" i="1"/>
  <c r="K194" i="1"/>
  <c r="M194" i="1"/>
  <c r="A195" i="1"/>
  <c r="G195" i="1"/>
  <c r="H195" i="1"/>
  <c r="I195" i="1"/>
  <c r="J195" i="1"/>
  <c r="K195" i="1"/>
  <c r="M195" i="1"/>
  <c r="A196" i="1"/>
  <c r="G196" i="1"/>
  <c r="H196" i="1"/>
  <c r="I196" i="1"/>
  <c r="J196" i="1"/>
  <c r="M196" i="1"/>
  <c r="A2919" i="1"/>
  <c r="G2919" i="1"/>
  <c r="H2919" i="1"/>
  <c r="I2919" i="1"/>
  <c r="J2919" i="1"/>
  <c r="K2919" i="1"/>
  <c r="M2919" i="1"/>
  <c r="A2920" i="1"/>
  <c r="G2920" i="1"/>
  <c r="H2920" i="1"/>
  <c r="I2920" i="1"/>
  <c r="J2920" i="1"/>
  <c r="K2920" i="1"/>
  <c r="M2920" i="1"/>
  <c r="A197" i="1"/>
  <c r="G197" i="1"/>
  <c r="H197" i="1"/>
  <c r="I197" i="1"/>
  <c r="J197" i="1"/>
  <c r="M197" i="1"/>
  <c r="A198" i="1"/>
  <c r="G198" i="1"/>
  <c r="H198" i="1"/>
  <c r="I198" i="1"/>
  <c r="J198" i="1"/>
  <c r="K198" i="1"/>
  <c r="M198" i="1"/>
  <c r="A2921" i="1"/>
  <c r="G2921" i="1"/>
  <c r="H2921" i="1"/>
  <c r="I2921" i="1"/>
  <c r="J2921" i="1"/>
  <c r="A1880" i="1"/>
  <c r="G1880" i="1"/>
  <c r="H1880" i="1"/>
  <c r="I1880" i="1"/>
  <c r="J1880" i="1"/>
  <c r="A2922" i="1"/>
  <c r="G2922" i="1"/>
  <c r="H2922" i="1"/>
  <c r="I2922" i="1"/>
  <c r="J2922" i="1"/>
  <c r="A199" i="1"/>
  <c r="G199" i="1"/>
  <c r="H199" i="1"/>
  <c r="I199" i="1"/>
  <c r="J199" i="1"/>
  <c r="M199" i="1"/>
  <c r="A200" i="1"/>
  <c r="G200" i="1"/>
  <c r="H200" i="1"/>
  <c r="I200" i="1"/>
  <c r="J200" i="1"/>
  <c r="K200" i="1"/>
  <c r="M200" i="1"/>
  <c r="A2923" i="1"/>
  <c r="G2923" i="1"/>
  <c r="H2923" i="1"/>
  <c r="I2923" i="1"/>
  <c r="J2923" i="1"/>
  <c r="K2923" i="1"/>
  <c r="M2923" i="1"/>
  <c r="A2924" i="1"/>
  <c r="G2924" i="1"/>
  <c r="H2924" i="1"/>
  <c r="I2924" i="1"/>
  <c r="J2924" i="1"/>
  <c r="K2924" i="1"/>
  <c r="M2924" i="1"/>
  <c r="A201" i="1"/>
  <c r="G201" i="1"/>
  <c r="H201" i="1"/>
  <c r="I201" i="1"/>
  <c r="J201" i="1"/>
  <c r="K201" i="1"/>
  <c r="M201" i="1"/>
  <c r="A2832" i="1"/>
  <c r="G2832" i="1"/>
  <c r="H2832" i="1"/>
  <c r="I2832" i="1"/>
  <c r="J2832" i="1"/>
  <c r="K2832" i="1"/>
  <c r="M2832" i="1"/>
  <c r="A4637" i="1"/>
  <c r="G4637" i="1"/>
  <c r="H4637" i="1"/>
  <c r="I4637" i="1"/>
  <c r="J4637" i="1"/>
  <c r="M4637" i="1"/>
  <c r="A2833" i="1"/>
  <c r="G2833" i="1"/>
  <c r="H2833" i="1"/>
  <c r="I2833" i="1"/>
  <c r="J2833" i="1"/>
  <c r="K2833" i="1"/>
  <c r="M2833" i="1"/>
  <c r="A202" i="1"/>
  <c r="G202" i="1"/>
  <c r="H202" i="1"/>
  <c r="I202" i="1"/>
  <c r="J202" i="1"/>
  <c r="K202" i="1"/>
  <c r="M202" i="1"/>
  <c r="A1881" i="1"/>
  <c r="G1881" i="1"/>
  <c r="H1881" i="1"/>
  <c r="I1881" i="1"/>
  <c r="J1881" i="1"/>
  <c r="K1881" i="1"/>
  <c r="M1881" i="1"/>
  <c r="A203" i="1"/>
  <c r="G203" i="1"/>
  <c r="H203" i="1"/>
  <c r="I203" i="1"/>
  <c r="J203" i="1"/>
  <c r="K203" i="1"/>
  <c r="M203" i="1"/>
  <c r="A1882" i="1"/>
  <c r="G1882" i="1"/>
  <c r="H1882" i="1"/>
  <c r="I1882" i="1"/>
  <c r="J1882" i="1"/>
  <c r="K1882" i="1"/>
  <c r="M1882" i="1"/>
  <c r="A2834" i="1"/>
  <c r="G2834" i="1"/>
  <c r="H2834" i="1"/>
  <c r="I2834" i="1"/>
  <c r="J2834" i="1"/>
  <c r="K2834" i="1"/>
  <c r="M2834" i="1"/>
  <c r="A4317" i="1"/>
  <c r="G4317" i="1"/>
  <c r="H4317" i="1"/>
  <c r="I4317" i="1"/>
  <c r="J4317" i="1"/>
  <c r="K4317" i="1"/>
  <c r="M4317" i="1"/>
  <c r="A2925" i="1"/>
  <c r="G2925" i="1"/>
  <c r="H2925" i="1"/>
  <c r="I2925" i="1"/>
  <c r="J2925" i="1"/>
  <c r="K2925" i="1"/>
  <c r="M2925" i="1"/>
  <c r="A2926" i="1"/>
  <c r="G2926" i="1"/>
  <c r="H2926" i="1"/>
  <c r="I2926" i="1"/>
  <c r="J2926" i="1"/>
  <c r="K2926" i="1"/>
  <c r="M2926" i="1"/>
  <c r="A4347" i="1"/>
  <c r="G4347" i="1"/>
  <c r="H4347" i="1"/>
  <c r="I4347" i="1"/>
  <c r="J4347" i="1"/>
  <c r="L4347" i="1"/>
  <c r="M4347" i="1"/>
  <c r="A204" i="1"/>
  <c r="G204" i="1"/>
  <c r="H204" i="1"/>
  <c r="I204" i="1"/>
  <c r="J204" i="1"/>
  <c r="K204" i="1"/>
  <c r="M204" i="1"/>
  <c r="A4348" i="1"/>
  <c r="G4348" i="1"/>
  <c r="H4348" i="1"/>
  <c r="I4348" i="1"/>
  <c r="J4348" i="1"/>
  <c r="K4348" i="1"/>
  <c r="M4348" i="1"/>
  <c r="A205" i="1"/>
  <c r="G205" i="1"/>
  <c r="H205" i="1"/>
  <c r="I205" i="1"/>
  <c r="J205" i="1"/>
  <c r="M205" i="1"/>
  <c r="A4349" i="1"/>
  <c r="G4349" i="1"/>
  <c r="H4349" i="1"/>
  <c r="I4349" i="1"/>
  <c r="J4349" i="1"/>
  <c r="K4349" i="1"/>
  <c r="M4349" i="1"/>
  <c r="A206" i="1"/>
  <c r="G206" i="1"/>
  <c r="H206" i="1"/>
  <c r="I206" i="1"/>
  <c r="J206" i="1"/>
  <c r="K206" i="1"/>
  <c r="M206" i="1"/>
  <c r="A207" i="1"/>
  <c r="G207" i="1"/>
  <c r="H207" i="1"/>
  <c r="I207" i="1"/>
  <c r="J207" i="1"/>
  <c r="K207" i="1"/>
  <c r="M207" i="1"/>
  <c r="A1883" i="1"/>
  <c r="G1883" i="1"/>
  <c r="H1883" i="1"/>
  <c r="I1883" i="1"/>
  <c r="J1883" i="1"/>
  <c r="A1884" i="1"/>
  <c r="G1884" i="1"/>
  <c r="H1884" i="1"/>
  <c r="I1884" i="1"/>
  <c r="J1884" i="1"/>
  <c r="K1884" i="1"/>
  <c r="M1884" i="1"/>
  <c r="A4350" i="1"/>
  <c r="G4350" i="1"/>
  <c r="H4350" i="1"/>
  <c r="I4350" i="1"/>
  <c r="J4350" i="1"/>
  <c r="K4350" i="1"/>
  <c r="M4350" i="1"/>
  <c r="A208" i="1"/>
  <c r="G208" i="1"/>
  <c r="H208" i="1"/>
  <c r="I208" i="1"/>
  <c r="J208" i="1"/>
  <c r="K208" i="1"/>
  <c r="M208" i="1"/>
  <c r="A209" i="1"/>
  <c r="G209" i="1"/>
  <c r="H209" i="1"/>
  <c r="I209" i="1"/>
  <c r="J209" i="1"/>
  <c r="K209" i="1"/>
  <c r="M209" i="1"/>
  <c r="A1885" i="1"/>
  <c r="G1885" i="1"/>
  <c r="H1885" i="1"/>
  <c r="I1885" i="1"/>
  <c r="J1885" i="1"/>
  <c r="A210" i="1"/>
  <c r="G210" i="1"/>
  <c r="H210" i="1"/>
  <c r="I210" i="1"/>
  <c r="J210" i="1"/>
  <c r="K210" i="1"/>
  <c r="M210" i="1"/>
  <c r="A2927" i="1"/>
  <c r="G2927" i="1"/>
  <c r="H2927" i="1"/>
  <c r="I2927" i="1"/>
  <c r="J2927" i="1"/>
  <c r="A4351" i="1"/>
  <c r="G4351" i="1"/>
  <c r="H4351" i="1"/>
  <c r="I4351" i="1"/>
  <c r="J4351" i="1"/>
  <c r="K4351" i="1"/>
  <c r="M4351" i="1"/>
  <c r="A211" i="1"/>
  <c r="G211" i="1"/>
  <c r="H211" i="1"/>
  <c r="I211" i="1"/>
  <c r="J211" i="1"/>
  <c r="K211" i="1"/>
  <c r="M211" i="1"/>
  <c r="A2928" i="1"/>
  <c r="G2928" i="1"/>
  <c r="H2928" i="1"/>
  <c r="I2928" i="1"/>
  <c r="J2928" i="1"/>
  <c r="K2928" i="1"/>
  <c r="M2928" i="1"/>
  <c r="A212" i="1"/>
  <c r="G212" i="1"/>
  <c r="H212" i="1"/>
  <c r="I212" i="1"/>
  <c r="J212" i="1"/>
  <c r="K212" i="1"/>
  <c r="M212" i="1"/>
  <c r="A2929" i="1"/>
  <c r="G2929" i="1"/>
  <c r="H2929" i="1"/>
  <c r="I2929" i="1"/>
  <c r="J2929" i="1"/>
  <c r="K2929" i="1"/>
  <c r="M2929" i="1"/>
  <c r="A213" i="1"/>
  <c r="G213" i="1"/>
  <c r="H213" i="1"/>
  <c r="I213" i="1"/>
  <c r="J213" i="1"/>
  <c r="M213" i="1"/>
  <c r="A2753" i="1"/>
  <c r="G2753" i="1"/>
  <c r="H2753" i="1"/>
  <c r="I2753" i="1"/>
  <c r="J2753" i="1"/>
  <c r="K2753" i="1"/>
  <c r="M2753" i="1"/>
  <c r="A214" i="1"/>
  <c r="G214" i="1"/>
  <c r="H214" i="1"/>
  <c r="I214" i="1"/>
  <c r="J214" i="1"/>
  <c r="K214" i="1"/>
  <c r="M214" i="1"/>
  <c r="A215" i="1"/>
  <c r="G215" i="1"/>
  <c r="H215" i="1"/>
  <c r="I215" i="1"/>
  <c r="J215" i="1"/>
  <c r="K215" i="1"/>
  <c r="M215" i="1"/>
  <c r="A216" i="1"/>
  <c r="G216" i="1"/>
  <c r="H216" i="1"/>
  <c r="I216" i="1"/>
  <c r="J216" i="1"/>
  <c r="K216" i="1"/>
  <c r="M216" i="1"/>
  <c r="A217" i="1"/>
  <c r="G217" i="1"/>
  <c r="H217" i="1"/>
  <c r="I217" i="1"/>
  <c r="J217" i="1"/>
  <c r="M217" i="1"/>
  <c r="A218" i="1"/>
  <c r="G218" i="1"/>
  <c r="H218" i="1"/>
  <c r="I218" i="1"/>
  <c r="J218" i="1"/>
  <c r="K218" i="1"/>
  <c r="M218" i="1"/>
  <c r="A219" i="1"/>
  <c r="G219" i="1"/>
  <c r="H219" i="1"/>
  <c r="I219" i="1"/>
  <c r="J219" i="1"/>
  <c r="K219" i="1"/>
  <c r="M219" i="1"/>
  <c r="A1886" i="1"/>
  <c r="G1886" i="1"/>
  <c r="H1886" i="1"/>
  <c r="I1886" i="1"/>
  <c r="J1886" i="1"/>
  <c r="K1886" i="1"/>
  <c r="M1886" i="1"/>
  <c r="A4181" i="1"/>
  <c r="G4181" i="1"/>
  <c r="H4181" i="1"/>
  <c r="I4181" i="1"/>
  <c r="J4181" i="1"/>
  <c r="K4181" i="1"/>
  <c r="M4181" i="1"/>
  <c r="A2930" i="1"/>
  <c r="G2930" i="1"/>
  <c r="H2930" i="1"/>
  <c r="I2930" i="1"/>
  <c r="J2930" i="1"/>
  <c r="K2930" i="1"/>
  <c r="M2930" i="1"/>
  <c r="A2931" i="1"/>
  <c r="G2931" i="1"/>
  <c r="H2931" i="1"/>
  <c r="I2931" i="1"/>
  <c r="J2931" i="1"/>
  <c r="A220" i="1"/>
  <c r="G220" i="1"/>
  <c r="H220" i="1"/>
  <c r="I220" i="1"/>
  <c r="J220" i="1"/>
  <c r="K220" i="1"/>
  <c r="M220" i="1"/>
  <c r="A2932" i="1"/>
  <c r="G2932" i="1"/>
  <c r="H2932" i="1"/>
  <c r="I2932" i="1"/>
  <c r="J2932" i="1"/>
  <c r="K2932" i="1"/>
  <c r="M2932" i="1"/>
  <c r="A221" i="1"/>
  <c r="G221" i="1"/>
  <c r="H221" i="1"/>
  <c r="I221" i="1"/>
  <c r="J221" i="1"/>
  <c r="L221" i="1"/>
  <c r="M221" i="1"/>
  <c r="A4318" i="1"/>
  <c r="G4318" i="1"/>
  <c r="H4318" i="1"/>
  <c r="I4318" i="1"/>
  <c r="J4318" i="1"/>
  <c r="A222" i="1"/>
  <c r="G222" i="1"/>
  <c r="H222" i="1"/>
  <c r="I222" i="1"/>
  <c r="J222" i="1"/>
  <c r="K222" i="1"/>
  <c r="M222" i="1"/>
  <c r="A4352" i="1"/>
  <c r="G4352" i="1"/>
  <c r="H4352" i="1"/>
  <c r="I4352" i="1"/>
  <c r="J4352" i="1"/>
  <c r="M4352" i="1"/>
  <c r="A223" i="1"/>
  <c r="G223" i="1"/>
  <c r="H223" i="1"/>
  <c r="I223" i="1"/>
  <c r="J223" i="1"/>
  <c r="K223" i="1"/>
  <c r="M223" i="1"/>
  <c r="A1887" i="1"/>
  <c r="G1887" i="1"/>
  <c r="H1887" i="1"/>
  <c r="I1887" i="1"/>
  <c r="J1887" i="1"/>
  <c r="K1887" i="1"/>
  <c r="M1887" i="1"/>
  <c r="A224" i="1"/>
  <c r="G224" i="1"/>
  <c r="H224" i="1"/>
  <c r="I224" i="1"/>
  <c r="J224" i="1"/>
  <c r="K224" i="1"/>
  <c r="M224" i="1"/>
  <c r="A4638" i="1"/>
  <c r="G4638" i="1"/>
  <c r="H4638" i="1"/>
  <c r="I4638" i="1"/>
  <c r="J4638" i="1"/>
  <c r="M4638" i="1"/>
  <c r="A225" i="1"/>
  <c r="G225" i="1"/>
  <c r="H225" i="1"/>
  <c r="I225" i="1"/>
  <c r="J225" i="1"/>
  <c r="K225" i="1"/>
  <c r="M225" i="1"/>
  <c r="A2933" i="1"/>
  <c r="G2933" i="1"/>
  <c r="H2933" i="1"/>
  <c r="I2933" i="1"/>
  <c r="J2933" i="1"/>
  <c r="K2933" i="1"/>
  <c r="M2933" i="1"/>
  <c r="A4353" i="1"/>
  <c r="G4353" i="1"/>
  <c r="H4353" i="1"/>
  <c r="I4353" i="1"/>
  <c r="J4353" i="1"/>
  <c r="M4353" i="1"/>
  <c r="A226" i="1"/>
  <c r="G226" i="1"/>
  <c r="H226" i="1"/>
  <c r="I226" i="1"/>
  <c r="J226" i="1"/>
  <c r="K226" i="1"/>
  <c r="M226" i="1"/>
  <c r="A1888" i="1"/>
  <c r="G1888" i="1"/>
  <c r="H1888" i="1"/>
  <c r="I1888" i="1"/>
  <c r="J1888" i="1"/>
  <c r="A2934" i="1"/>
  <c r="G2934" i="1"/>
  <c r="H2934" i="1"/>
  <c r="I2934" i="1"/>
  <c r="J2934" i="1"/>
  <c r="K2934" i="1"/>
  <c r="M2934" i="1"/>
  <c r="A4354" i="1"/>
  <c r="G4354" i="1"/>
  <c r="H4354" i="1"/>
  <c r="I4354" i="1"/>
  <c r="J4354" i="1"/>
  <c r="K4354" i="1"/>
  <c r="M4354" i="1"/>
  <c r="A4355" i="1"/>
  <c r="G4355" i="1"/>
  <c r="H4355" i="1"/>
  <c r="I4355" i="1"/>
  <c r="J4355" i="1"/>
  <c r="K4355" i="1"/>
  <c r="M4355" i="1"/>
  <c r="A227" i="1"/>
  <c r="G227" i="1"/>
  <c r="H227" i="1"/>
  <c r="I227" i="1"/>
  <c r="J227" i="1"/>
  <c r="K227" i="1"/>
  <c r="M227" i="1"/>
  <c r="A228" i="1"/>
  <c r="G228" i="1"/>
  <c r="H228" i="1"/>
  <c r="I228" i="1"/>
  <c r="J228" i="1"/>
  <c r="M228" i="1"/>
  <c r="A229" i="1"/>
  <c r="G229" i="1"/>
  <c r="H229" i="1"/>
  <c r="I229" i="1"/>
  <c r="J229" i="1"/>
  <c r="K229" i="1"/>
  <c r="M229" i="1"/>
  <c r="A230" i="1"/>
  <c r="G230" i="1"/>
  <c r="H230" i="1"/>
  <c r="I230" i="1"/>
  <c r="J230" i="1"/>
  <c r="K230" i="1"/>
  <c r="M230" i="1"/>
  <c r="A231" i="1"/>
  <c r="G231" i="1"/>
  <c r="H231" i="1"/>
  <c r="I231" i="1"/>
  <c r="J231" i="1"/>
  <c r="M231" i="1"/>
  <c r="A4639" i="1"/>
  <c r="G4639" i="1"/>
  <c r="H4639" i="1"/>
  <c r="I4639" i="1"/>
  <c r="J4639" i="1"/>
  <c r="M4639" i="1"/>
  <c r="A232" i="1"/>
  <c r="G232" i="1"/>
  <c r="H232" i="1"/>
  <c r="I232" i="1"/>
  <c r="J232" i="1"/>
  <c r="K232" i="1"/>
  <c r="M232" i="1"/>
  <c r="A1889" i="1"/>
  <c r="G1889" i="1"/>
  <c r="H1889" i="1"/>
  <c r="I1889" i="1"/>
  <c r="J1889" i="1"/>
  <c r="K1889" i="1"/>
  <c r="M1889" i="1"/>
  <c r="A4356" i="1"/>
  <c r="G4356" i="1"/>
  <c r="H4356" i="1"/>
  <c r="I4356" i="1"/>
  <c r="J4356" i="1"/>
  <c r="M4356" i="1"/>
  <c r="A1890" i="1"/>
  <c r="G1890" i="1"/>
  <c r="H1890" i="1"/>
  <c r="I1890" i="1"/>
  <c r="J1890" i="1"/>
  <c r="A1891" i="1"/>
  <c r="G1891" i="1"/>
  <c r="H1891" i="1"/>
  <c r="I1891" i="1"/>
  <c r="J1891" i="1"/>
  <c r="K1891" i="1"/>
  <c r="M1891" i="1"/>
  <c r="A2935" i="1"/>
  <c r="G2935" i="1"/>
  <c r="H2935" i="1"/>
  <c r="I2935" i="1"/>
  <c r="J2935" i="1"/>
  <c r="A2936" i="1"/>
  <c r="G2936" i="1"/>
  <c r="H2936" i="1"/>
  <c r="I2936" i="1"/>
  <c r="J2936" i="1"/>
  <c r="A4357" i="1"/>
  <c r="G4357" i="1"/>
  <c r="H4357" i="1"/>
  <c r="I4357" i="1"/>
  <c r="J4357" i="1"/>
  <c r="K4357" i="1"/>
  <c r="M4357" i="1"/>
  <c r="A2937" i="1"/>
  <c r="G2937" i="1"/>
  <c r="H2937" i="1"/>
  <c r="I2937" i="1"/>
  <c r="J2937" i="1"/>
  <c r="A4358" i="1"/>
  <c r="G4358" i="1"/>
  <c r="H4358" i="1"/>
  <c r="I4358" i="1"/>
  <c r="J4358" i="1"/>
  <c r="K4358" i="1"/>
  <c r="M4358" i="1"/>
  <c r="A4640" i="1"/>
  <c r="G4640" i="1"/>
  <c r="H4640" i="1"/>
  <c r="I4640" i="1"/>
  <c r="J4640" i="1"/>
  <c r="M4640" i="1"/>
  <c r="A2938" i="1"/>
  <c r="G2938" i="1"/>
  <c r="H2938" i="1"/>
  <c r="I2938" i="1"/>
  <c r="J2938" i="1"/>
  <c r="A2939" i="1"/>
  <c r="G2939" i="1"/>
  <c r="H2939" i="1"/>
  <c r="I2939" i="1"/>
  <c r="J2939" i="1"/>
  <c r="K2939" i="1"/>
  <c r="M2939" i="1"/>
  <c r="A233" i="1"/>
  <c r="G233" i="1"/>
  <c r="H233" i="1"/>
  <c r="I233" i="1"/>
  <c r="J233" i="1"/>
  <c r="K233" i="1"/>
  <c r="M233" i="1"/>
  <c r="A1892" i="1"/>
  <c r="G1892" i="1"/>
  <c r="H1892" i="1"/>
  <c r="I1892" i="1"/>
  <c r="J1892" i="1"/>
  <c r="K1892" i="1"/>
  <c r="M1892" i="1"/>
  <c r="A1893" i="1"/>
  <c r="G1893" i="1"/>
  <c r="H1893" i="1"/>
  <c r="I1893" i="1"/>
  <c r="J1893" i="1"/>
  <c r="K1893" i="1"/>
  <c r="M1893" i="1"/>
  <c r="A1894" i="1"/>
  <c r="G1894" i="1"/>
  <c r="H1894" i="1"/>
  <c r="I1894" i="1"/>
  <c r="J1894" i="1"/>
  <c r="K1894" i="1"/>
  <c r="M1894" i="1"/>
  <c r="A4359" i="1"/>
  <c r="G4359" i="1"/>
  <c r="H4359" i="1"/>
  <c r="I4359" i="1"/>
  <c r="J4359" i="1"/>
  <c r="M4359" i="1"/>
  <c r="A234" i="1"/>
  <c r="G234" i="1"/>
  <c r="H234" i="1"/>
  <c r="I234" i="1"/>
  <c r="J234" i="1"/>
  <c r="K234" i="1"/>
  <c r="M234" i="1"/>
  <c r="A2940" i="1"/>
  <c r="G2940" i="1"/>
  <c r="H2940" i="1"/>
  <c r="I2940" i="1"/>
  <c r="J2940" i="1"/>
  <c r="K2940" i="1"/>
  <c r="M2940" i="1"/>
  <c r="A235" i="1"/>
  <c r="G235" i="1"/>
  <c r="H235" i="1"/>
  <c r="I235" i="1"/>
  <c r="J235" i="1"/>
  <c r="K235" i="1"/>
  <c r="M235" i="1"/>
  <c r="A236" i="1"/>
  <c r="G236" i="1"/>
  <c r="H236" i="1"/>
  <c r="I236" i="1"/>
  <c r="J236" i="1"/>
  <c r="K236" i="1"/>
  <c r="M236" i="1"/>
  <c r="A237" i="1"/>
  <c r="G237" i="1"/>
  <c r="H237" i="1"/>
  <c r="I237" i="1"/>
  <c r="J237" i="1"/>
  <c r="K237" i="1"/>
  <c r="M237" i="1"/>
  <c r="A4360" i="1"/>
  <c r="G4360" i="1"/>
  <c r="H4360" i="1"/>
  <c r="I4360" i="1"/>
  <c r="J4360" i="1"/>
  <c r="K4360" i="1"/>
  <c r="M4360" i="1"/>
  <c r="A2941" i="1"/>
  <c r="G2941" i="1"/>
  <c r="H2941" i="1"/>
  <c r="I2941" i="1"/>
  <c r="J2941" i="1"/>
  <c r="K2941" i="1"/>
  <c r="M2941" i="1"/>
  <c r="A2942" i="1"/>
  <c r="G2942" i="1"/>
  <c r="H2942" i="1"/>
  <c r="I2942" i="1"/>
  <c r="J2942" i="1"/>
  <c r="A238" i="1"/>
  <c r="G238" i="1"/>
  <c r="H238" i="1"/>
  <c r="I238" i="1"/>
  <c r="J238" i="1"/>
  <c r="M238" i="1"/>
  <c r="A2943" i="1"/>
  <c r="G2943" i="1"/>
  <c r="H2943" i="1"/>
  <c r="I2943" i="1"/>
  <c r="J2943" i="1"/>
  <c r="A239" i="1"/>
  <c r="G239" i="1"/>
  <c r="H239" i="1"/>
  <c r="I239" i="1"/>
  <c r="J239" i="1"/>
  <c r="A240" i="1"/>
  <c r="G240" i="1"/>
  <c r="H240" i="1"/>
  <c r="I240" i="1"/>
  <c r="J240" i="1"/>
  <c r="K240" i="1"/>
  <c r="M240" i="1"/>
  <c r="A2944" i="1"/>
  <c r="G2944" i="1"/>
  <c r="H2944" i="1"/>
  <c r="I2944" i="1"/>
  <c r="J2944" i="1"/>
  <c r="A2945" i="1"/>
  <c r="G2945" i="1"/>
  <c r="H2945" i="1"/>
  <c r="I2945" i="1"/>
  <c r="J2945" i="1"/>
  <c r="K2945" i="1"/>
  <c r="M2945" i="1"/>
  <c r="A1895" i="1"/>
  <c r="G1895" i="1"/>
  <c r="H1895" i="1"/>
  <c r="I1895" i="1"/>
  <c r="J1895" i="1"/>
  <c r="K1895" i="1"/>
  <c r="M1895" i="1"/>
  <c r="A5" i="1"/>
  <c r="G5" i="1"/>
  <c r="H5" i="1"/>
  <c r="I5" i="1"/>
  <c r="J5" i="1"/>
  <c r="K5" i="1"/>
  <c r="M5" i="1"/>
  <c r="A2946" i="1"/>
  <c r="G2946" i="1"/>
  <c r="H2946" i="1"/>
  <c r="I2946" i="1"/>
  <c r="J2946" i="1"/>
  <c r="A241" i="1"/>
  <c r="G241" i="1"/>
  <c r="H241" i="1"/>
  <c r="I241" i="1"/>
  <c r="J241" i="1"/>
  <c r="K241" i="1"/>
  <c r="M241" i="1"/>
  <c r="A1896" i="1"/>
  <c r="G1896" i="1"/>
  <c r="H1896" i="1"/>
  <c r="I1896" i="1"/>
  <c r="J1896" i="1"/>
  <c r="K1896" i="1"/>
  <c r="M1896" i="1"/>
  <c r="A4182" i="1"/>
  <c r="G4182" i="1"/>
  <c r="H4182" i="1"/>
  <c r="I4182" i="1"/>
  <c r="J4182" i="1"/>
  <c r="K4182" i="1"/>
  <c r="M4182" i="1"/>
  <c r="A1897" i="1"/>
  <c r="G1897" i="1"/>
  <c r="H1897" i="1"/>
  <c r="I1897" i="1"/>
  <c r="J1897" i="1"/>
  <c r="K1897" i="1"/>
  <c r="M1897" i="1"/>
  <c r="A242" i="1"/>
  <c r="G242" i="1"/>
  <c r="H242" i="1"/>
  <c r="I242" i="1"/>
  <c r="J242" i="1"/>
  <c r="K242" i="1"/>
  <c r="M242" i="1"/>
  <c r="A1898" i="1"/>
  <c r="G1898" i="1"/>
  <c r="H1898" i="1"/>
  <c r="I1898" i="1"/>
  <c r="J1898" i="1"/>
  <c r="K1898" i="1"/>
  <c r="M1898" i="1"/>
  <c r="A1899" i="1"/>
  <c r="G1899" i="1"/>
  <c r="H1899" i="1"/>
  <c r="I1899" i="1"/>
  <c r="J1899" i="1"/>
  <c r="K1899" i="1"/>
  <c r="M1899" i="1"/>
  <c r="A1900" i="1"/>
  <c r="G1900" i="1"/>
  <c r="H1900" i="1"/>
  <c r="I1900" i="1"/>
  <c r="J1900" i="1"/>
  <c r="K1900" i="1"/>
  <c r="M1900" i="1"/>
  <c r="A243" i="1"/>
  <c r="G243" i="1"/>
  <c r="H243" i="1"/>
  <c r="I243" i="1"/>
  <c r="J243" i="1"/>
  <c r="K243" i="1"/>
  <c r="M243" i="1"/>
  <c r="A2947" i="1"/>
  <c r="G2947" i="1"/>
  <c r="H2947" i="1"/>
  <c r="I2947" i="1"/>
  <c r="J2947" i="1"/>
  <c r="A2948" i="1"/>
  <c r="G2948" i="1"/>
  <c r="H2948" i="1"/>
  <c r="I2948" i="1"/>
  <c r="J2948" i="1"/>
  <c r="K2948" i="1"/>
  <c r="M2948" i="1"/>
  <c r="A244" i="1"/>
  <c r="G244" i="1"/>
  <c r="H244" i="1"/>
  <c r="I244" i="1"/>
  <c r="J244" i="1"/>
  <c r="K244" i="1"/>
  <c r="M244" i="1"/>
  <c r="A6" i="1"/>
  <c r="G6" i="1"/>
  <c r="H6" i="1"/>
  <c r="I6" i="1"/>
  <c r="J6" i="1"/>
  <c r="K6" i="1"/>
  <c r="M6" i="1"/>
  <c r="A1901" i="1"/>
  <c r="G1901" i="1"/>
  <c r="H1901" i="1"/>
  <c r="I1901" i="1"/>
  <c r="J1901" i="1"/>
  <c r="K1901" i="1"/>
  <c r="M1901" i="1"/>
  <c r="A2835" i="1"/>
  <c r="G2835" i="1"/>
  <c r="H2835" i="1"/>
  <c r="I2835" i="1"/>
  <c r="J2835" i="1"/>
  <c r="K2835" i="1"/>
  <c r="M2835" i="1"/>
  <c r="A7" i="1"/>
  <c r="G7" i="1"/>
  <c r="H7" i="1"/>
  <c r="I7" i="1"/>
  <c r="J7" i="1"/>
  <c r="K7" i="1"/>
  <c r="M7" i="1"/>
  <c r="A245" i="1"/>
  <c r="G245" i="1"/>
  <c r="H245" i="1"/>
  <c r="I245" i="1"/>
  <c r="J245" i="1"/>
  <c r="L245" i="1"/>
  <c r="M245" i="1"/>
  <c r="A2836" i="1"/>
  <c r="G2836" i="1"/>
  <c r="H2836" i="1"/>
  <c r="I2836" i="1"/>
  <c r="J2836" i="1"/>
  <c r="K2836" i="1"/>
  <c r="M2836" i="1"/>
  <c r="A1902" i="1"/>
  <c r="G1902" i="1"/>
  <c r="H1902" i="1"/>
  <c r="I1902" i="1"/>
  <c r="J1902" i="1"/>
  <c r="K1902" i="1"/>
  <c r="M1902" i="1"/>
  <c r="A2949" i="1"/>
  <c r="G2949" i="1"/>
  <c r="H2949" i="1"/>
  <c r="I2949" i="1"/>
  <c r="J2949" i="1"/>
  <c r="K2949" i="1"/>
  <c r="M2949" i="1"/>
  <c r="A2837" i="1"/>
  <c r="G2837" i="1"/>
  <c r="H2837" i="1"/>
  <c r="I2837" i="1"/>
  <c r="J2837" i="1"/>
  <c r="K2837" i="1"/>
  <c r="M2837" i="1"/>
  <c r="A2950" i="1"/>
  <c r="G2950" i="1"/>
  <c r="H2950" i="1"/>
  <c r="I2950" i="1"/>
  <c r="J2950" i="1"/>
  <c r="K2950" i="1"/>
  <c r="M2950" i="1"/>
  <c r="A1903" i="1"/>
  <c r="G1903" i="1"/>
  <c r="H1903" i="1"/>
  <c r="I1903" i="1"/>
  <c r="J1903" i="1"/>
  <c r="K1903" i="1"/>
  <c r="M1903" i="1"/>
  <c r="A1904" i="1"/>
  <c r="G1904" i="1"/>
  <c r="H1904" i="1"/>
  <c r="I1904" i="1"/>
  <c r="J1904" i="1"/>
  <c r="A2951" i="1"/>
  <c r="G2951" i="1"/>
  <c r="H2951" i="1"/>
  <c r="I2951" i="1"/>
  <c r="J2951" i="1"/>
  <c r="A246" i="1"/>
  <c r="G246" i="1"/>
  <c r="H246" i="1"/>
  <c r="I246" i="1"/>
  <c r="J246" i="1"/>
  <c r="K246" i="1"/>
  <c r="M246" i="1"/>
  <c r="A8" i="1"/>
  <c r="G8" i="1"/>
  <c r="H8" i="1"/>
  <c r="I8" i="1"/>
  <c r="J8" i="1"/>
  <c r="A4641" i="1"/>
  <c r="G4641" i="1"/>
  <c r="H4641" i="1"/>
  <c r="I4641" i="1"/>
  <c r="J4641" i="1"/>
  <c r="M4641" i="1"/>
  <c r="A247" i="1"/>
  <c r="G247" i="1"/>
  <c r="H247" i="1"/>
  <c r="I247" i="1"/>
  <c r="J247" i="1"/>
  <c r="K247" i="1"/>
  <c r="M247" i="1"/>
  <c r="A2952" i="1"/>
  <c r="G2952" i="1"/>
  <c r="H2952" i="1"/>
  <c r="I2952" i="1"/>
  <c r="J2952" i="1"/>
  <c r="A248" i="1"/>
  <c r="G248" i="1"/>
  <c r="H248" i="1"/>
  <c r="I248" i="1"/>
  <c r="J248" i="1"/>
  <c r="K248" i="1"/>
  <c r="M248" i="1"/>
  <c r="A249" i="1"/>
  <c r="G249" i="1"/>
  <c r="H249" i="1"/>
  <c r="I249" i="1"/>
  <c r="J249" i="1"/>
  <c r="K249" i="1"/>
  <c r="M249" i="1"/>
  <c r="A4642" i="1"/>
  <c r="G4642" i="1"/>
  <c r="H4642" i="1"/>
  <c r="I4642" i="1"/>
  <c r="J4642" i="1"/>
  <c r="M4642" i="1"/>
  <c r="A2953" i="1"/>
  <c r="G2953" i="1"/>
  <c r="H2953" i="1"/>
  <c r="I2953" i="1"/>
  <c r="J2953" i="1"/>
  <c r="K2953" i="1"/>
  <c r="M2953" i="1"/>
  <c r="A1905" i="1"/>
  <c r="G1905" i="1"/>
  <c r="H1905" i="1"/>
  <c r="I1905" i="1"/>
  <c r="J1905" i="1"/>
  <c r="K1905" i="1"/>
  <c r="M1905" i="1"/>
  <c r="A2954" i="1"/>
  <c r="G2954" i="1"/>
  <c r="H2954" i="1"/>
  <c r="I2954" i="1"/>
  <c r="J2954" i="1"/>
  <c r="K2954" i="1"/>
  <c r="M2954" i="1"/>
  <c r="A2955" i="1"/>
  <c r="G2955" i="1"/>
  <c r="H2955" i="1"/>
  <c r="I2955" i="1"/>
  <c r="J2955" i="1"/>
  <c r="A250" i="1"/>
  <c r="G250" i="1"/>
  <c r="H250" i="1"/>
  <c r="I250" i="1"/>
  <c r="J250" i="1"/>
  <c r="M250" i="1"/>
  <c r="A1906" i="1"/>
  <c r="G1906" i="1"/>
  <c r="H1906" i="1"/>
  <c r="I1906" i="1"/>
  <c r="J1906" i="1"/>
  <c r="A251" i="1"/>
  <c r="G251" i="1"/>
  <c r="H251" i="1"/>
  <c r="I251" i="1"/>
  <c r="J251" i="1"/>
  <c r="K251" i="1"/>
  <c r="M251" i="1"/>
  <c r="A2956" i="1"/>
  <c r="G2956" i="1"/>
  <c r="H2956" i="1"/>
  <c r="I2956" i="1"/>
  <c r="J2956" i="1"/>
  <c r="A2754" i="1"/>
  <c r="G2754" i="1"/>
  <c r="H2754" i="1"/>
  <c r="I2754" i="1"/>
  <c r="J2754" i="1"/>
  <c r="K2754" i="1"/>
  <c r="M2754" i="1"/>
  <c r="A2755" i="1"/>
  <c r="G2755" i="1"/>
  <c r="H2755" i="1"/>
  <c r="I2755" i="1"/>
  <c r="J2755" i="1"/>
  <c r="K2755" i="1"/>
  <c r="M2755" i="1"/>
  <c r="A2957" i="1"/>
  <c r="G2957" i="1"/>
  <c r="H2957" i="1"/>
  <c r="I2957" i="1"/>
  <c r="J2957" i="1"/>
  <c r="K2957" i="1"/>
  <c r="M2957" i="1"/>
  <c r="A4183" i="1"/>
  <c r="G4183" i="1"/>
  <c r="H4183" i="1"/>
  <c r="I4183" i="1"/>
  <c r="J4183" i="1"/>
  <c r="A2958" i="1"/>
  <c r="G2958" i="1"/>
  <c r="H2958" i="1"/>
  <c r="I2958" i="1"/>
  <c r="J2958" i="1"/>
  <c r="K2958" i="1"/>
  <c r="M2958" i="1"/>
  <c r="A2959" i="1"/>
  <c r="G2959" i="1"/>
  <c r="H2959" i="1"/>
  <c r="I2959" i="1"/>
  <c r="J2959" i="1"/>
  <c r="K2959" i="1"/>
  <c r="M2959" i="1"/>
  <c r="A4361" i="1"/>
  <c r="G4361" i="1"/>
  <c r="H4361" i="1"/>
  <c r="I4361" i="1"/>
  <c r="J4361" i="1"/>
  <c r="K4361" i="1"/>
  <c r="M4361" i="1"/>
  <c r="A4184" i="1"/>
  <c r="G4184" i="1"/>
  <c r="H4184" i="1"/>
  <c r="I4184" i="1"/>
  <c r="J4184" i="1"/>
  <c r="A1907" i="1"/>
  <c r="G1907" i="1"/>
  <c r="H1907" i="1"/>
  <c r="I1907" i="1"/>
  <c r="J1907" i="1"/>
  <c r="K1907" i="1"/>
  <c r="M1907" i="1"/>
  <c r="A2960" i="1"/>
  <c r="G2960" i="1"/>
  <c r="H2960" i="1"/>
  <c r="I2960" i="1"/>
  <c r="J2960" i="1"/>
  <c r="A252" i="1"/>
  <c r="G252" i="1"/>
  <c r="H252" i="1"/>
  <c r="I252" i="1"/>
  <c r="J252" i="1"/>
  <c r="K252" i="1"/>
  <c r="M252" i="1"/>
  <c r="A253" i="1"/>
  <c r="G253" i="1"/>
  <c r="H253" i="1"/>
  <c r="I253" i="1"/>
  <c r="J253" i="1"/>
  <c r="M253" i="1"/>
  <c r="A9" i="1"/>
  <c r="G9" i="1"/>
  <c r="H9" i="1"/>
  <c r="I9" i="1"/>
  <c r="J9" i="1"/>
  <c r="A2961" i="1"/>
  <c r="G2961" i="1"/>
  <c r="H2961" i="1"/>
  <c r="I2961" i="1"/>
  <c r="J2961" i="1"/>
  <c r="A1908" i="1"/>
  <c r="G1908" i="1"/>
  <c r="H1908" i="1"/>
  <c r="I1908" i="1"/>
  <c r="J1908" i="1"/>
  <c r="A2962" i="1"/>
  <c r="G2962" i="1"/>
  <c r="H2962" i="1"/>
  <c r="I2962" i="1"/>
  <c r="J2962" i="1"/>
  <c r="A254" i="1"/>
  <c r="G254" i="1"/>
  <c r="H254" i="1"/>
  <c r="I254" i="1"/>
  <c r="J254" i="1"/>
  <c r="K254" i="1"/>
  <c r="M254" i="1"/>
  <c r="A1909" i="1"/>
  <c r="G1909" i="1"/>
  <c r="H1909" i="1"/>
  <c r="I1909" i="1"/>
  <c r="J1909" i="1"/>
  <c r="K1909" i="1"/>
  <c r="M1909" i="1"/>
  <c r="A2963" i="1"/>
  <c r="G2963" i="1"/>
  <c r="H2963" i="1"/>
  <c r="I2963" i="1"/>
  <c r="J2963" i="1"/>
  <c r="A2964" i="1"/>
  <c r="G2964" i="1"/>
  <c r="H2964" i="1"/>
  <c r="I2964" i="1"/>
  <c r="J2964" i="1"/>
  <c r="K2964" i="1"/>
  <c r="M2964" i="1"/>
  <c r="A1910" i="1"/>
  <c r="G1910" i="1"/>
  <c r="H1910" i="1"/>
  <c r="I1910" i="1"/>
  <c r="J1910" i="1"/>
  <c r="K1910" i="1"/>
  <c r="M1910" i="1"/>
  <c r="A255" i="1"/>
  <c r="G255" i="1"/>
  <c r="H255" i="1"/>
  <c r="I255" i="1"/>
  <c r="J255" i="1"/>
  <c r="M255" i="1"/>
  <c r="A2965" i="1"/>
  <c r="G2965" i="1"/>
  <c r="H2965" i="1"/>
  <c r="I2965" i="1"/>
  <c r="J2965" i="1"/>
  <c r="A256" i="1"/>
  <c r="G256" i="1"/>
  <c r="H256" i="1"/>
  <c r="I256" i="1"/>
  <c r="J256" i="1"/>
  <c r="K256" i="1"/>
  <c r="M256" i="1"/>
  <c r="A257" i="1"/>
  <c r="G257" i="1"/>
  <c r="H257" i="1"/>
  <c r="I257" i="1"/>
  <c r="J257" i="1"/>
  <c r="K257" i="1"/>
  <c r="M257" i="1"/>
  <c r="A2966" i="1"/>
  <c r="G2966" i="1"/>
  <c r="H2966" i="1"/>
  <c r="I2966" i="1"/>
  <c r="J2966" i="1"/>
  <c r="A2967" i="1"/>
  <c r="G2967" i="1"/>
  <c r="H2967" i="1"/>
  <c r="I2967" i="1"/>
  <c r="J2967" i="1"/>
  <c r="K2967" i="1"/>
  <c r="M2967" i="1"/>
  <c r="A258" i="1"/>
  <c r="G258" i="1"/>
  <c r="H258" i="1"/>
  <c r="I258" i="1"/>
  <c r="J258" i="1"/>
  <c r="K258" i="1"/>
  <c r="M258" i="1"/>
  <c r="A259" i="1"/>
  <c r="G259" i="1"/>
  <c r="H259" i="1"/>
  <c r="I259" i="1"/>
  <c r="J259" i="1"/>
  <c r="K259" i="1"/>
  <c r="M259" i="1"/>
  <c r="A260" i="1"/>
  <c r="G260" i="1"/>
  <c r="H260" i="1"/>
  <c r="I260" i="1"/>
  <c r="J260" i="1"/>
  <c r="L260" i="1"/>
  <c r="M260" i="1"/>
  <c r="A261" i="1"/>
  <c r="G261" i="1"/>
  <c r="H261" i="1"/>
  <c r="I261" i="1"/>
  <c r="J261" i="1"/>
  <c r="M261" i="1"/>
  <c r="A262" i="1"/>
  <c r="G262" i="1"/>
  <c r="H262" i="1"/>
  <c r="I262" i="1"/>
  <c r="J262" i="1"/>
  <c r="K262" i="1"/>
  <c r="M262" i="1"/>
  <c r="A2968" i="1"/>
  <c r="G2968" i="1"/>
  <c r="H2968" i="1"/>
  <c r="I2968" i="1"/>
  <c r="J2968" i="1"/>
  <c r="A2969" i="1"/>
  <c r="G2969" i="1"/>
  <c r="H2969" i="1"/>
  <c r="I2969" i="1"/>
  <c r="J2969" i="1"/>
  <c r="A2970" i="1"/>
  <c r="G2970" i="1"/>
  <c r="H2970" i="1"/>
  <c r="I2970" i="1"/>
  <c r="J2970" i="1"/>
  <c r="K2970" i="1"/>
  <c r="M2970" i="1"/>
  <c r="A263" i="1"/>
  <c r="G263" i="1"/>
  <c r="H263" i="1"/>
  <c r="I263" i="1"/>
  <c r="J263" i="1"/>
  <c r="M263" i="1"/>
  <c r="A1911" i="1"/>
  <c r="G1911" i="1"/>
  <c r="H1911" i="1"/>
  <c r="I1911" i="1"/>
  <c r="J1911" i="1"/>
  <c r="K1911" i="1"/>
  <c r="M1911" i="1"/>
  <c r="A1912" i="1"/>
  <c r="G1912" i="1"/>
  <c r="H1912" i="1"/>
  <c r="I1912" i="1"/>
  <c r="J1912" i="1"/>
  <c r="A2971" i="1"/>
  <c r="G2971" i="1"/>
  <c r="H2971" i="1"/>
  <c r="I2971" i="1"/>
  <c r="J2971" i="1"/>
  <c r="A264" i="1"/>
  <c r="G264" i="1"/>
  <c r="H264" i="1"/>
  <c r="I264" i="1"/>
  <c r="J264" i="1"/>
  <c r="K264" i="1"/>
  <c r="M264" i="1"/>
  <c r="A2972" i="1"/>
  <c r="G2972" i="1"/>
  <c r="H2972" i="1"/>
  <c r="I2972" i="1"/>
  <c r="J2972" i="1"/>
  <c r="A2973" i="1"/>
  <c r="G2973" i="1"/>
  <c r="H2973" i="1"/>
  <c r="I2973" i="1"/>
  <c r="J2973" i="1"/>
  <c r="A1913" i="1"/>
  <c r="G1913" i="1"/>
  <c r="H1913" i="1"/>
  <c r="I1913" i="1"/>
  <c r="J1913" i="1"/>
  <c r="K1913" i="1"/>
  <c r="M1913" i="1"/>
  <c r="A2838" i="1"/>
  <c r="G2838" i="1"/>
  <c r="H2838" i="1"/>
  <c r="I2838" i="1"/>
  <c r="J2838" i="1"/>
  <c r="K2838" i="1"/>
  <c r="M2838" i="1"/>
  <c r="A1914" i="1"/>
  <c r="G1914" i="1"/>
  <c r="H1914" i="1"/>
  <c r="I1914" i="1"/>
  <c r="J1914" i="1"/>
  <c r="M1914" i="1"/>
  <c r="A265" i="1"/>
  <c r="G265" i="1"/>
  <c r="H265" i="1"/>
  <c r="I265" i="1"/>
  <c r="J265" i="1"/>
  <c r="K265" i="1"/>
  <c r="M265" i="1"/>
  <c r="A266" i="1"/>
  <c r="G266" i="1"/>
  <c r="H266" i="1"/>
  <c r="I266" i="1"/>
  <c r="J266" i="1"/>
  <c r="K266" i="1"/>
  <c r="M266" i="1"/>
  <c r="A2839" i="1"/>
  <c r="G2839" i="1"/>
  <c r="H2839" i="1"/>
  <c r="I2839" i="1"/>
  <c r="J2839" i="1"/>
  <c r="K2839" i="1"/>
  <c r="M2839" i="1"/>
  <c r="A1915" i="1"/>
  <c r="G1915" i="1"/>
  <c r="H1915" i="1"/>
  <c r="I1915" i="1"/>
  <c r="J1915" i="1"/>
  <c r="A267" i="1"/>
  <c r="G267" i="1"/>
  <c r="H267" i="1"/>
  <c r="I267" i="1"/>
  <c r="J267" i="1"/>
  <c r="M267" i="1"/>
  <c r="A4362" i="1"/>
  <c r="G4362" i="1"/>
  <c r="H4362" i="1"/>
  <c r="I4362" i="1"/>
  <c r="J4362" i="1"/>
  <c r="K4362" i="1"/>
  <c r="M4362" i="1"/>
  <c r="A268" i="1"/>
  <c r="G268" i="1"/>
  <c r="H268" i="1"/>
  <c r="I268" i="1"/>
  <c r="J268" i="1"/>
  <c r="K268" i="1"/>
  <c r="M268" i="1"/>
  <c r="A4596" i="1"/>
  <c r="G4596" i="1"/>
  <c r="H4596" i="1"/>
  <c r="I4596" i="1"/>
  <c r="J4596" i="1"/>
  <c r="A269" i="1"/>
  <c r="G269" i="1"/>
  <c r="H269" i="1"/>
  <c r="I269" i="1"/>
  <c r="J269" i="1"/>
  <c r="K269" i="1"/>
  <c r="M269" i="1"/>
  <c r="A270" i="1"/>
  <c r="G270" i="1"/>
  <c r="H270" i="1"/>
  <c r="I270" i="1"/>
  <c r="J270" i="1"/>
  <c r="L270" i="1"/>
  <c r="M270" i="1"/>
  <c r="A271" i="1"/>
  <c r="G271" i="1"/>
  <c r="H271" i="1"/>
  <c r="I271" i="1"/>
  <c r="J271" i="1"/>
  <c r="K271" i="1"/>
  <c r="M271" i="1"/>
  <c r="A272" i="1"/>
  <c r="G272" i="1"/>
  <c r="H272" i="1"/>
  <c r="I272" i="1"/>
  <c r="J272" i="1"/>
  <c r="A273" i="1"/>
  <c r="G273" i="1"/>
  <c r="H273" i="1"/>
  <c r="I273" i="1"/>
  <c r="J273" i="1"/>
  <c r="M273" i="1"/>
  <c r="A4185" i="1"/>
  <c r="G4185" i="1"/>
  <c r="H4185" i="1"/>
  <c r="I4185" i="1"/>
  <c r="J4185" i="1"/>
  <c r="A2974" i="1"/>
  <c r="G2974" i="1"/>
  <c r="H2974" i="1"/>
  <c r="I2974" i="1"/>
  <c r="J2974" i="1"/>
  <c r="K2974" i="1"/>
  <c r="M2974" i="1"/>
  <c r="A4643" i="1"/>
  <c r="G4643" i="1"/>
  <c r="H4643" i="1"/>
  <c r="I4643" i="1"/>
  <c r="J4643" i="1"/>
  <c r="M4643" i="1"/>
  <c r="A2975" i="1"/>
  <c r="G2975" i="1"/>
  <c r="H2975" i="1"/>
  <c r="I2975" i="1"/>
  <c r="J2975" i="1"/>
  <c r="K2975" i="1"/>
  <c r="M2975" i="1"/>
  <c r="A274" i="1"/>
  <c r="G274" i="1"/>
  <c r="H274" i="1"/>
  <c r="I274" i="1"/>
  <c r="J274" i="1"/>
  <c r="K274" i="1"/>
  <c r="M274" i="1"/>
  <c r="A4146" i="1"/>
  <c r="G4146" i="1"/>
  <c r="H4146" i="1"/>
  <c r="I4146" i="1"/>
  <c r="J4146" i="1"/>
  <c r="K4146" i="1"/>
  <c r="M4146" i="1"/>
  <c r="A275" i="1"/>
  <c r="G275" i="1"/>
  <c r="H275" i="1"/>
  <c r="I275" i="1"/>
  <c r="J275" i="1"/>
  <c r="K275" i="1"/>
  <c r="M275" i="1"/>
  <c r="A1916" i="1"/>
  <c r="G1916" i="1"/>
  <c r="H1916" i="1"/>
  <c r="I1916" i="1"/>
  <c r="J1916" i="1"/>
  <c r="K1916" i="1"/>
  <c r="M1916" i="1"/>
  <c r="A276" i="1"/>
  <c r="G276" i="1"/>
  <c r="H276" i="1"/>
  <c r="I276" i="1"/>
  <c r="J276" i="1"/>
  <c r="K276" i="1"/>
  <c r="M276" i="1"/>
  <c r="A1917" i="1"/>
  <c r="G1917" i="1"/>
  <c r="H1917" i="1"/>
  <c r="I1917" i="1"/>
  <c r="J1917" i="1"/>
  <c r="K1917" i="1"/>
  <c r="M1917" i="1"/>
  <c r="A277" i="1"/>
  <c r="G277" i="1"/>
  <c r="H277" i="1"/>
  <c r="I277" i="1"/>
  <c r="J277" i="1"/>
  <c r="K277" i="1"/>
  <c r="M277" i="1"/>
  <c r="A4186" i="1"/>
  <c r="G4186" i="1"/>
  <c r="H4186" i="1"/>
  <c r="I4186" i="1"/>
  <c r="J4186" i="1"/>
  <c r="A1918" i="1"/>
  <c r="G1918" i="1"/>
  <c r="H1918" i="1"/>
  <c r="I1918" i="1"/>
  <c r="J1918" i="1"/>
  <c r="K1918" i="1"/>
  <c r="M1918" i="1"/>
  <c r="A278" i="1"/>
  <c r="G278" i="1"/>
  <c r="H278" i="1"/>
  <c r="I278" i="1"/>
  <c r="J278" i="1"/>
  <c r="L278" i="1"/>
  <c r="M278" i="1"/>
  <c r="A1919" i="1"/>
  <c r="G1919" i="1"/>
  <c r="H1919" i="1"/>
  <c r="I1919" i="1"/>
  <c r="J1919" i="1"/>
  <c r="K1919" i="1"/>
  <c r="M1919" i="1"/>
  <c r="A4187" i="1"/>
  <c r="G4187" i="1"/>
  <c r="H4187" i="1"/>
  <c r="I4187" i="1"/>
  <c r="J4187" i="1"/>
  <c r="K4187" i="1"/>
  <c r="M4187" i="1"/>
  <c r="A279" i="1"/>
  <c r="G279" i="1"/>
  <c r="H279" i="1"/>
  <c r="I279" i="1"/>
  <c r="J279" i="1"/>
  <c r="K279" i="1"/>
  <c r="M279" i="1"/>
  <c r="A1920" i="1"/>
  <c r="G1920" i="1"/>
  <c r="H1920" i="1"/>
  <c r="I1920" i="1"/>
  <c r="J1920" i="1"/>
  <c r="A2976" i="1"/>
  <c r="G2976" i="1"/>
  <c r="H2976" i="1"/>
  <c r="I2976" i="1"/>
  <c r="J2976" i="1"/>
  <c r="K2976" i="1"/>
  <c r="M2976" i="1"/>
  <c r="A280" i="1"/>
  <c r="G280" i="1"/>
  <c r="H280" i="1"/>
  <c r="I280" i="1"/>
  <c r="J280" i="1"/>
  <c r="K280" i="1"/>
  <c r="M280" i="1"/>
  <c r="A1921" i="1"/>
  <c r="G1921" i="1"/>
  <c r="H1921" i="1"/>
  <c r="I1921" i="1"/>
  <c r="J1921" i="1"/>
  <c r="A1922" i="1"/>
  <c r="G1922" i="1"/>
  <c r="H1922" i="1"/>
  <c r="I1922" i="1"/>
  <c r="J1922" i="1"/>
  <c r="K1922" i="1"/>
  <c r="M1922" i="1"/>
  <c r="A4597" i="1"/>
  <c r="G4597" i="1"/>
  <c r="H4597" i="1"/>
  <c r="I4597" i="1"/>
  <c r="J4597" i="1"/>
  <c r="A4363" i="1"/>
  <c r="G4363" i="1"/>
  <c r="H4363" i="1"/>
  <c r="I4363" i="1"/>
  <c r="J4363" i="1"/>
  <c r="K4363" i="1"/>
  <c r="M4363" i="1"/>
  <c r="A281" i="1"/>
  <c r="G281" i="1"/>
  <c r="H281" i="1"/>
  <c r="I281" i="1"/>
  <c r="J281" i="1"/>
  <c r="K281" i="1"/>
  <c r="M281" i="1"/>
  <c r="A282" i="1"/>
  <c r="G282" i="1"/>
  <c r="H282" i="1"/>
  <c r="I282" i="1"/>
  <c r="J282" i="1"/>
  <c r="K282" i="1"/>
  <c r="M282" i="1"/>
  <c r="A4364" i="1"/>
  <c r="G4364" i="1"/>
  <c r="H4364" i="1"/>
  <c r="I4364" i="1"/>
  <c r="J4364" i="1"/>
  <c r="K4364" i="1"/>
  <c r="M4364" i="1"/>
  <c r="A283" i="1"/>
  <c r="G283" i="1"/>
  <c r="H283" i="1"/>
  <c r="I283" i="1"/>
  <c r="J283" i="1"/>
  <c r="K283" i="1"/>
  <c r="M283" i="1"/>
  <c r="A284" i="1"/>
  <c r="G284" i="1"/>
  <c r="H284" i="1"/>
  <c r="I284" i="1"/>
  <c r="J284" i="1"/>
  <c r="K284" i="1"/>
  <c r="M284" i="1"/>
  <c r="A4644" i="1"/>
  <c r="G4644" i="1"/>
  <c r="H4644" i="1"/>
  <c r="I4644" i="1"/>
  <c r="J4644" i="1"/>
  <c r="M4644" i="1"/>
  <c r="A10" i="1"/>
  <c r="G10" i="1"/>
  <c r="H10" i="1"/>
  <c r="I10" i="1"/>
  <c r="J10" i="1"/>
  <c r="A1923" i="1"/>
  <c r="G1923" i="1"/>
  <c r="H1923" i="1"/>
  <c r="I1923" i="1"/>
  <c r="J1923" i="1"/>
  <c r="K1923" i="1"/>
  <c r="M1923" i="1"/>
  <c r="A285" i="1"/>
  <c r="G285" i="1"/>
  <c r="H285" i="1"/>
  <c r="I285" i="1"/>
  <c r="J285" i="1"/>
  <c r="K285" i="1"/>
  <c r="M285" i="1"/>
  <c r="A286" i="1"/>
  <c r="G286" i="1"/>
  <c r="H286" i="1"/>
  <c r="I286" i="1"/>
  <c r="J286" i="1"/>
  <c r="M286" i="1"/>
  <c r="A1924" i="1"/>
  <c r="G1924" i="1"/>
  <c r="H1924" i="1"/>
  <c r="I1924" i="1"/>
  <c r="J1924" i="1"/>
  <c r="K1924" i="1"/>
  <c r="M1924" i="1"/>
  <c r="A287" i="1"/>
  <c r="G287" i="1"/>
  <c r="H287" i="1"/>
  <c r="I287" i="1"/>
  <c r="J287" i="1"/>
  <c r="K287" i="1"/>
  <c r="M287" i="1"/>
  <c r="A1925" i="1"/>
  <c r="G1925" i="1"/>
  <c r="H1925" i="1"/>
  <c r="I1925" i="1"/>
  <c r="J1925" i="1"/>
  <c r="K1925" i="1"/>
  <c r="M1925" i="1"/>
  <c r="A4365" i="1"/>
  <c r="G4365" i="1"/>
  <c r="H4365" i="1"/>
  <c r="I4365" i="1"/>
  <c r="J4365" i="1"/>
  <c r="K4365" i="1"/>
  <c r="M4365" i="1"/>
  <c r="A2977" i="1"/>
  <c r="G2977" i="1"/>
  <c r="H2977" i="1"/>
  <c r="I2977" i="1"/>
  <c r="J2977" i="1"/>
  <c r="K2977" i="1"/>
  <c r="M2977" i="1"/>
  <c r="A4366" i="1"/>
  <c r="G4366" i="1"/>
  <c r="H4366" i="1"/>
  <c r="I4366" i="1"/>
  <c r="J4366" i="1"/>
  <c r="K4366" i="1"/>
  <c r="M4366" i="1"/>
  <c r="A1926" i="1"/>
  <c r="G1926" i="1"/>
  <c r="H1926" i="1"/>
  <c r="I1926" i="1"/>
  <c r="J1926" i="1"/>
  <c r="A288" i="1"/>
  <c r="G288" i="1"/>
  <c r="H288" i="1"/>
  <c r="I288" i="1"/>
  <c r="J288" i="1"/>
  <c r="K288" i="1"/>
  <c r="M288" i="1"/>
  <c r="A1927" i="1"/>
  <c r="G1927" i="1"/>
  <c r="H1927" i="1"/>
  <c r="I1927" i="1"/>
  <c r="J1927" i="1"/>
  <c r="K1927" i="1"/>
  <c r="M1927" i="1"/>
  <c r="A2978" i="1"/>
  <c r="G2978" i="1"/>
  <c r="H2978" i="1"/>
  <c r="I2978" i="1"/>
  <c r="J2978" i="1"/>
  <c r="A289" i="1"/>
  <c r="G289" i="1"/>
  <c r="H289" i="1"/>
  <c r="I289" i="1"/>
  <c r="J289" i="1"/>
  <c r="K289" i="1"/>
  <c r="M289" i="1"/>
  <c r="A2840" i="1"/>
  <c r="G2840" i="1"/>
  <c r="H2840" i="1"/>
  <c r="I2840" i="1"/>
  <c r="J2840" i="1"/>
  <c r="K2840" i="1"/>
  <c r="M2840" i="1"/>
  <c r="A11" i="1"/>
  <c r="G11" i="1"/>
  <c r="H11" i="1"/>
  <c r="I11" i="1"/>
  <c r="J11" i="1"/>
  <c r="A1928" i="1"/>
  <c r="G1928" i="1"/>
  <c r="H1928" i="1"/>
  <c r="I1928" i="1"/>
  <c r="J1928" i="1"/>
  <c r="A2979" i="1"/>
  <c r="G2979" i="1"/>
  <c r="H2979" i="1"/>
  <c r="I2979" i="1"/>
  <c r="J2979" i="1"/>
  <c r="K2979" i="1"/>
  <c r="M2979" i="1"/>
  <c r="A2980" i="1"/>
  <c r="G2980" i="1"/>
  <c r="H2980" i="1"/>
  <c r="I2980" i="1"/>
  <c r="J2980" i="1"/>
  <c r="A290" i="1"/>
  <c r="G290" i="1"/>
  <c r="H290" i="1"/>
  <c r="I290" i="1"/>
  <c r="J290" i="1"/>
  <c r="K290" i="1"/>
  <c r="M290" i="1"/>
  <c r="A2981" i="1"/>
  <c r="G2981" i="1"/>
  <c r="H2981" i="1"/>
  <c r="I2981" i="1"/>
  <c r="J2981" i="1"/>
  <c r="K2981" i="1"/>
  <c r="M2981" i="1"/>
  <c r="A291" i="1"/>
  <c r="G291" i="1"/>
  <c r="H291" i="1"/>
  <c r="I291" i="1"/>
  <c r="J291" i="1"/>
  <c r="A292" i="1"/>
  <c r="G292" i="1"/>
  <c r="H292" i="1"/>
  <c r="I292" i="1"/>
  <c r="J292" i="1"/>
  <c r="K292" i="1"/>
  <c r="M292" i="1"/>
  <c r="A293" i="1"/>
  <c r="G293" i="1"/>
  <c r="H293" i="1"/>
  <c r="I293" i="1"/>
  <c r="J293" i="1"/>
  <c r="K293" i="1"/>
  <c r="M293" i="1"/>
  <c r="A294" i="1"/>
  <c r="G294" i="1"/>
  <c r="H294" i="1"/>
  <c r="I294" i="1"/>
  <c r="J294" i="1"/>
  <c r="M294" i="1"/>
  <c r="A4367" i="1"/>
  <c r="G4367" i="1"/>
  <c r="H4367" i="1"/>
  <c r="I4367" i="1"/>
  <c r="J4367" i="1"/>
  <c r="K4367" i="1"/>
  <c r="M4367" i="1"/>
  <c r="A2982" i="1"/>
  <c r="G2982" i="1"/>
  <c r="H2982" i="1"/>
  <c r="I2982" i="1"/>
  <c r="J2982" i="1"/>
  <c r="A2983" i="1"/>
  <c r="G2983" i="1"/>
  <c r="H2983" i="1"/>
  <c r="I2983" i="1"/>
  <c r="J2983" i="1"/>
  <c r="K2983" i="1"/>
  <c r="M2983" i="1"/>
  <c r="G1929" i="1"/>
  <c r="H1929" i="1"/>
  <c r="I1929" i="1"/>
  <c r="J1929" i="1"/>
  <c r="A295" i="1"/>
  <c r="G295" i="1"/>
  <c r="H295" i="1"/>
  <c r="I295" i="1"/>
  <c r="J295" i="1"/>
  <c r="K295" i="1"/>
  <c r="M295" i="1"/>
  <c r="A2984" i="1"/>
  <c r="G2984" i="1"/>
  <c r="H2984" i="1"/>
  <c r="I2984" i="1"/>
  <c r="J2984" i="1"/>
  <c r="K2984" i="1"/>
  <c r="M2984" i="1"/>
  <c r="A296" i="1"/>
  <c r="G296" i="1"/>
  <c r="H296" i="1"/>
  <c r="I296" i="1"/>
  <c r="J296" i="1"/>
  <c r="K296" i="1"/>
  <c r="M296" i="1"/>
  <c r="A2985" i="1"/>
  <c r="G2985" i="1"/>
  <c r="H2985" i="1"/>
  <c r="I2985" i="1"/>
  <c r="J2985" i="1"/>
  <c r="K2985" i="1"/>
  <c r="M2985" i="1"/>
  <c r="A297" i="1"/>
  <c r="G297" i="1"/>
  <c r="H297" i="1"/>
  <c r="I297" i="1"/>
  <c r="J297" i="1"/>
  <c r="K297" i="1"/>
  <c r="M297" i="1"/>
  <c r="A4368" i="1"/>
  <c r="G4368" i="1"/>
  <c r="H4368" i="1"/>
  <c r="I4368" i="1"/>
  <c r="J4368" i="1"/>
  <c r="L4368" i="1"/>
  <c r="M4368" i="1"/>
  <c r="A298" i="1"/>
  <c r="G298" i="1"/>
  <c r="H298" i="1"/>
  <c r="I298" i="1"/>
  <c r="J298" i="1"/>
  <c r="K298" i="1"/>
  <c r="M298" i="1"/>
  <c r="A1930" i="1"/>
  <c r="G1930" i="1"/>
  <c r="H1930" i="1"/>
  <c r="I1930" i="1"/>
  <c r="J1930" i="1"/>
  <c r="K1930" i="1"/>
  <c r="M1930" i="1"/>
  <c r="A299" i="1"/>
  <c r="G299" i="1"/>
  <c r="H299" i="1"/>
  <c r="I299" i="1"/>
  <c r="J299" i="1"/>
  <c r="K299" i="1"/>
  <c r="M299" i="1"/>
  <c r="A1931" i="1"/>
  <c r="G1931" i="1"/>
  <c r="H1931" i="1"/>
  <c r="I1931" i="1"/>
  <c r="J1931" i="1"/>
  <c r="K1931" i="1"/>
  <c r="M1931" i="1"/>
  <c r="A2756" i="1"/>
  <c r="G2756" i="1"/>
  <c r="H2756" i="1"/>
  <c r="I2756" i="1"/>
  <c r="J2756" i="1"/>
  <c r="K2756" i="1"/>
  <c r="M2756" i="1"/>
  <c r="A4369" i="1"/>
  <c r="G4369" i="1"/>
  <c r="H4369" i="1"/>
  <c r="I4369" i="1"/>
  <c r="J4369" i="1"/>
  <c r="K4369" i="1"/>
  <c r="M4369" i="1"/>
  <c r="A300" i="1"/>
  <c r="G300" i="1"/>
  <c r="H300" i="1"/>
  <c r="I300" i="1"/>
  <c r="J300" i="1"/>
  <c r="K300" i="1"/>
  <c r="M300" i="1"/>
  <c r="A2986" i="1"/>
  <c r="G2986" i="1"/>
  <c r="H2986" i="1"/>
  <c r="I2986" i="1"/>
  <c r="J2986" i="1"/>
  <c r="A2987" i="1"/>
  <c r="G2987" i="1"/>
  <c r="H2987" i="1"/>
  <c r="I2987" i="1"/>
  <c r="J2987" i="1"/>
  <c r="A1932" i="1"/>
  <c r="G1932" i="1"/>
  <c r="H1932" i="1"/>
  <c r="I1932" i="1"/>
  <c r="J1932" i="1"/>
  <c r="K1932" i="1"/>
  <c r="M1932" i="1"/>
  <c r="A2757" i="1"/>
  <c r="G2757" i="1"/>
  <c r="H2757" i="1"/>
  <c r="I2757" i="1"/>
  <c r="J2757" i="1"/>
  <c r="K2757" i="1"/>
  <c r="M2757" i="1"/>
  <c r="A301" i="1"/>
  <c r="G301" i="1"/>
  <c r="H301" i="1"/>
  <c r="I301" i="1"/>
  <c r="J301" i="1"/>
  <c r="A1933" i="1"/>
  <c r="G1933" i="1"/>
  <c r="H1933" i="1"/>
  <c r="I1933" i="1"/>
  <c r="J1933" i="1"/>
  <c r="K1933" i="1"/>
  <c r="M1933" i="1"/>
  <c r="A2988" i="1"/>
  <c r="G2988" i="1"/>
  <c r="H2988" i="1"/>
  <c r="I2988" i="1"/>
  <c r="J2988" i="1"/>
  <c r="A2989" i="1"/>
  <c r="G2989" i="1"/>
  <c r="H2989" i="1"/>
  <c r="I2989" i="1"/>
  <c r="J2989" i="1"/>
  <c r="A1934" i="1"/>
  <c r="G1934" i="1"/>
  <c r="H1934" i="1"/>
  <c r="I1934" i="1"/>
  <c r="J1934" i="1"/>
  <c r="K1934" i="1"/>
  <c r="M1934" i="1"/>
  <c r="A2990" i="1"/>
  <c r="G2990" i="1"/>
  <c r="H2990" i="1"/>
  <c r="I2990" i="1"/>
  <c r="J2990" i="1"/>
  <c r="A2841" i="1"/>
  <c r="G2841" i="1"/>
  <c r="H2841" i="1"/>
  <c r="I2841" i="1"/>
  <c r="J2841" i="1"/>
  <c r="K2841" i="1"/>
  <c r="M2841" i="1"/>
  <c r="A4370" i="1"/>
  <c r="G4370" i="1"/>
  <c r="H4370" i="1"/>
  <c r="I4370" i="1"/>
  <c r="J4370" i="1"/>
  <c r="K4370" i="1"/>
  <c r="M4370" i="1"/>
  <c r="A302" i="1"/>
  <c r="G302" i="1"/>
  <c r="H302" i="1"/>
  <c r="I302" i="1"/>
  <c r="J302" i="1"/>
  <c r="M302" i="1"/>
  <c r="A1935" i="1"/>
  <c r="G1935" i="1"/>
  <c r="H1935" i="1"/>
  <c r="I1935" i="1"/>
  <c r="J1935" i="1"/>
  <c r="K1935" i="1"/>
  <c r="M1935" i="1"/>
  <c r="A303" i="1"/>
  <c r="G303" i="1"/>
  <c r="H303" i="1"/>
  <c r="I303" i="1"/>
  <c r="J303" i="1"/>
  <c r="K303" i="1"/>
  <c r="M303" i="1"/>
  <c r="A4371" i="1"/>
  <c r="G4371" i="1"/>
  <c r="H4371" i="1"/>
  <c r="I4371" i="1"/>
  <c r="J4371" i="1"/>
  <c r="K4371" i="1"/>
  <c r="M4371" i="1"/>
  <c r="A4372" i="1"/>
  <c r="G4372" i="1"/>
  <c r="H4372" i="1"/>
  <c r="I4372" i="1"/>
  <c r="J4372" i="1"/>
  <c r="K4372" i="1"/>
  <c r="M4372" i="1"/>
  <c r="A12" i="1"/>
  <c r="G12" i="1"/>
  <c r="H12" i="1"/>
  <c r="I12" i="1"/>
  <c r="J12" i="1"/>
  <c r="A13" i="1"/>
  <c r="G13" i="1"/>
  <c r="H13" i="1"/>
  <c r="I13" i="1"/>
  <c r="J13" i="1"/>
  <c r="K13" i="1"/>
  <c r="M13" i="1"/>
  <c r="A304" i="1"/>
  <c r="G304" i="1"/>
  <c r="H304" i="1"/>
  <c r="I304" i="1"/>
  <c r="J304" i="1"/>
  <c r="M304" i="1"/>
  <c r="A2991" i="1"/>
  <c r="G2991" i="1"/>
  <c r="H2991" i="1"/>
  <c r="I2991" i="1"/>
  <c r="J2991" i="1"/>
  <c r="K2991" i="1"/>
  <c r="M2991" i="1"/>
  <c r="A2992" i="1"/>
  <c r="G2992" i="1"/>
  <c r="H2992" i="1"/>
  <c r="I2992" i="1"/>
  <c r="J2992" i="1"/>
  <c r="A1936" i="1"/>
  <c r="G1936" i="1"/>
  <c r="H1936" i="1"/>
  <c r="I1936" i="1"/>
  <c r="J1936" i="1"/>
  <c r="K1936" i="1"/>
  <c r="M1936" i="1"/>
  <c r="A1937" i="1"/>
  <c r="G1937" i="1"/>
  <c r="H1937" i="1"/>
  <c r="I1937" i="1"/>
  <c r="J1937" i="1"/>
  <c r="A305" i="1"/>
  <c r="G305" i="1"/>
  <c r="H305" i="1"/>
  <c r="I305" i="1"/>
  <c r="J305" i="1"/>
  <c r="K305" i="1"/>
  <c r="M305" i="1"/>
  <c r="A2993" i="1"/>
  <c r="G2993" i="1"/>
  <c r="H2993" i="1"/>
  <c r="I2993" i="1"/>
  <c r="J2993" i="1"/>
  <c r="K2993" i="1"/>
  <c r="M2993" i="1"/>
  <c r="A4147" i="1"/>
  <c r="G4147" i="1"/>
  <c r="H4147" i="1"/>
  <c r="I4147" i="1"/>
  <c r="J4147" i="1"/>
  <c r="K4147" i="1"/>
  <c r="M4147" i="1"/>
  <c r="A306" i="1"/>
  <c r="G306" i="1"/>
  <c r="H306" i="1"/>
  <c r="I306" i="1"/>
  <c r="J306" i="1"/>
  <c r="M306" i="1"/>
  <c r="A307" i="1"/>
  <c r="G307" i="1"/>
  <c r="H307" i="1"/>
  <c r="I307" i="1"/>
  <c r="J307" i="1"/>
  <c r="K307" i="1"/>
  <c r="M307" i="1"/>
  <c r="A2994" i="1"/>
  <c r="G2994" i="1"/>
  <c r="H2994" i="1"/>
  <c r="I2994" i="1"/>
  <c r="J2994" i="1"/>
  <c r="K2994" i="1"/>
  <c r="M2994" i="1"/>
  <c r="A2995" i="1"/>
  <c r="G2995" i="1"/>
  <c r="H2995" i="1"/>
  <c r="I2995" i="1"/>
  <c r="J2995" i="1"/>
  <c r="A308" i="1"/>
  <c r="G308" i="1"/>
  <c r="H308" i="1"/>
  <c r="I308" i="1"/>
  <c r="J308" i="1"/>
  <c r="L308" i="1"/>
  <c r="M308" i="1"/>
  <c r="A1938" i="1"/>
  <c r="G1938" i="1"/>
  <c r="H1938" i="1"/>
  <c r="I1938" i="1"/>
  <c r="J1938" i="1"/>
  <c r="K1938" i="1"/>
  <c r="M1938" i="1"/>
  <c r="A4188" i="1"/>
  <c r="G4188" i="1"/>
  <c r="H4188" i="1"/>
  <c r="I4188" i="1"/>
  <c r="J4188" i="1"/>
  <c r="K4188" i="1"/>
  <c r="M4188" i="1"/>
  <c r="A2996" i="1"/>
  <c r="G2996" i="1"/>
  <c r="H2996" i="1"/>
  <c r="I2996" i="1"/>
  <c r="J2996" i="1"/>
  <c r="K2996" i="1"/>
  <c r="M2996" i="1"/>
  <c r="A2997" i="1"/>
  <c r="G2997" i="1"/>
  <c r="H2997" i="1"/>
  <c r="I2997" i="1"/>
  <c r="J2997" i="1"/>
  <c r="K2997" i="1"/>
  <c r="M2997" i="1"/>
  <c r="A2998" i="1"/>
  <c r="G2998" i="1"/>
  <c r="H2998" i="1"/>
  <c r="I2998" i="1"/>
  <c r="J2998" i="1"/>
  <c r="K2998" i="1"/>
  <c r="M2998" i="1"/>
  <c r="A309" i="1"/>
  <c r="G309" i="1"/>
  <c r="H309" i="1"/>
  <c r="I309" i="1"/>
  <c r="J309" i="1"/>
  <c r="K309" i="1"/>
  <c r="M309" i="1"/>
  <c r="A2999" i="1"/>
  <c r="G2999" i="1"/>
  <c r="H2999" i="1"/>
  <c r="I2999" i="1"/>
  <c r="J2999" i="1"/>
  <c r="A310" i="1"/>
  <c r="G310" i="1"/>
  <c r="H310" i="1"/>
  <c r="I310" i="1"/>
  <c r="J310" i="1"/>
  <c r="K310" i="1"/>
  <c r="M310" i="1"/>
  <c r="A3000" i="1"/>
  <c r="G3000" i="1"/>
  <c r="H3000" i="1"/>
  <c r="I3000" i="1"/>
  <c r="J3000" i="1"/>
  <c r="K3000" i="1"/>
  <c r="M3000" i="1"/>
  <c r="A311" i="1"/>
  <c r="G311" i="1"/>
  <c r="H311" i="1"/>
  <c r="I311" i="1"/>
  <c r="J311" i="1"/>
  <c r="K311" i="1"/>
  <c r="M311" i="1"/>
  <c r="A1939" i="1"/>
  <c r="G1939" i="1"/>
  <c r="H1939" i="1"/>
  <c r="I1939" i="1"/>
  <c r="J1939" i="1"/>
  <c r="K1939" i="1"/>
  <c r="M1939" i="1"/>
  <c r="A3001" i="1"/>
  <c r="G3001" i="1"/>
  <c r="H3001" i="1"/>
  <c r="I3001" i="1"/>
  <c r="J3001" i="1"/>
  <c r="K3001" i="1"/>
  <c r="M3001" i="1"/>
  <c r="A3002" i="1"/>
  <c r="G3002" i="1"/>
  <c r="H3002" i="1"/>
  <c r="I3002" i="1"/>
  <c r="J3002" i="1"/>
  <c r="A312" i="1"/>
  <c r="G312" i="1"/>
  <c r="H312" i="1"/>
  <c r="I312" i="1"/>
  <c r="J312" i="1"/>
  <c r="M312" i="1"/>
  <c r="A1940" i="1"/>
  <c r="G1940" i="1"/>
  <c r="H1940" i="1"/>
  <c r="I1940" i="1"/>
  <c r="J1940" i="1"/>
  <c r="K1940" i="1"/>
  <c r="M1940" i="1"/>
  <c r="A3003" i="1"/>
  <c r="G3003" i="1"/>
  <c r="H3003" i="1"/>
  <c r="I3003" i="1"/>
  <c r="J3003" i="1"/>
  <c r="A2758" i="1"/>
  <c r="G2758" i="1"/>
  <c r="H2758" i="1"/>
  <c r="I2758" i="1"/>
  <c r="J2758" i="1"/>
  <c r="K2758" i="1"/>
  <c r="M2758" i="1"/>
  <c r="A3004" i="1"/>
  <c r="G3004" i="1"/>
  <c r="H3004" i="1"/>
  <c r="I3004" i="1"/>
  <c r="J3004" i="1"/>
  <c r="A3005" i="1"/>
  <c r="G3005" i="1"/>
  <c r="H3005" i="1"/>
  <c r="I3005" i="1"/>
  <c r="J3005" i="1"/>
  <c r="K3005" i="1"/>
  <c r="M3005" i="1"/>
  <c r="A1941" i="1"/>
  <c r="G1941" i="1"/>
  <c r="H1941" i="1"/>
  <c r="I1941" i="1"/>
  <c r="J1941" i="1"/>
  <c r="K1941" i="1"/>
  <c r="M1941" i="1"/>
  <c r="A3006" i="1"/>
  <c r="G3006" i="1"/>
  <c r="H3006" i="1"/>
  <c r="I3006" i="1"/>
  <c r="J3006" i="1"/>
  <c r="K3006" i="1"/>
  <c r="M3006" i="1"/>
  <c r="A4148" i="1"/>
  <c r="G4148" i="1"/>
  <c r="H4148" i="1"/>
  <c r="I4148" i="1"/>
  <c r="J4148" i="1"/>
  <c r="K4148" i="1"/>
  <c r="M4148" i="1"/>
  <c r="A3007" i="1"/>
  <c r="G3007" i="1"/>
  <c r="H3007" i="1"/>
  <c r="I3007" i="1"/>
  <c r="J3007" i="1"/>
  <c r="A4645" i="1"/>
  <c r="G4645" i="1"/>
  <c r="H4645" i="1"/>
  <c r="I4645" i="1"/>
  <c r="J4645" i="1"/>
  <c r="M4645" i="1"/>
  <c r="A1942" i="1"/>
  <c r="G1942" i="1"/>
  <c r="H1942" i="1"/>
  <c r="I1942" i="1"/>
  <c r="J1942" i="1"/>
  <c r="A3008" i="1"/>
  <c r="G3008" i="1"/>
  <c r="H3008" i="1"/>
  <c r="I3008" i="1"/>
  <c r="J3008" i="1"/>
  <c r="A313" i="1"/>
  <c r="G313" i="1"/>
  <c r="H313" i="1"/>
  <c r="I313" i="1"/>
  <c r="J313" i="1"/>
  <c r="K313" i="1"/>
  <c r="M313" i="1"/>
  <c r="A314" i="1"/>
  <c r="G314" i="1"/>
  <c r="H314" i="1"/>
  <c r="I314" i="1"/>
  <c r="J314" i="1"/>
  <c r="K314" i="1"/>
  <c r="M314" i="1"/>
  <c r="A315" i="1"/>
  <c r="G315" i="1"/>
  <c r="H315" i="1"/>
  <c r="I315" i="1"/>
  <c r="J315" i="1"/>
  <c r="L315" i="1"/>
  <c r="M315" i="1"/>
  <c r="A316" i="1"/>
  <c r="G316" i="1"/>
  <c r="H316" i="1"/>
  <c r="I316" i="1"/>
  <c r="J316" i="1"/>
  <c r="K316" i="1"/>
  <c r="M316" i="1"/>
  <c r="A4189" i="1"/>
  <c r="G4189" i="1"/>
  <c r="H4189" i="1"/>
  <c r="I4189" i="1"/>
  <c r="J4189" i="1"/>
  <c r="A4373" i="1"/>
  <c r="G4373" i="1"/>
  <c r="H4373" i="1"/>
  <c r="I4373" i="1"/>
  <c r="J4373" i="1"/>
  <c r="K4373" i="1"/>
  <c r="M4373" i="1"/>
  <c r="A317" i="1"/>
  <c r="G317" i="1"/>
  <c r="H317" i="1"/>
  <c r="I317" i="1"/>
  <c r="J317" i="1"/>
  <c r="K317" i="1"/>
  <c r="M317" i="1"/>
  <c r="A318" i="1"/>
  <c r="G318" i="1"/>
  <c r="H318" i="1"/>
  <c r="I318" i="1"/>
  <c r="J318" i="1"/>
  <c r="K318" i="1"/>
  <c r="M318" i="1"/>
  <c r="A319" i="1"/>
  <c r="G319" i="1"/>
  <c r="H319" i="1"/>
  <c r="I319" i="1"/>
  <c r="J319" i="1"/>
  <c r="M319" i="1"/>
  <c r="A4598" i="1"/>
  <c r="G4598" i="1"/>
  <c r="H4598" i="1"/>
  <c r="I4598" i="1"/>
  <c r="J4598" i="1"/>
  <c r="A3009" i="1"/>
  <c r="G3009" i="1"/>
  <c r="H3009" i="1"/>
  <c r="I3009" i="1"/>
  <c r="J3009" i="1"/>
  <c r="K3009" i="1"/>
  <c r="M3009" i="1"/>
  <c r="A3010" i="1"/>
  <c r="G3010" i="1"/>
  <c r="H3010" i="1"/>
  <c r="I3010" i="1"/>
  <c r="J3010" i="1"/>
  <c r="K3010" i="1"/>
  <c r="M3010" i="1"/>
  <c r="A1943" i="1"/>
  <c r="G1943" i="1"/>
  <c r="H1943" i="1"/>
  <c r="I1943" i="1"/>
  <c r="J1943" i="1"/>
  <c r="A3011" i="1"/>
  <c r="G3011" i="1"/>
  <c r="H3011" i="1"/>
  <c r="I3011" i="1"/>
  <c r="J3011" i="1"/>
  <c r="K3011" i="1"/>
  <c r="M3011" i="1"/>
  <c r="A320" i="1"/>
  <c r="G320" i="1"/>
  <c r="H320" i="1"/>
  <c r="I320" i="1"/>
  <c r="J320" i="1"/>
  <c r="K320" i="1"/>
  <c r="M320" i="1"/>
  <c r="A2759" i="1"/>
  <c r="G2759" i="1"/>
  <c r="H2759" i="1"/>
  <c r="I2759" i="1"/>
  <c r="J2759" i="1"/>
  <c r="K2759" i="1"/>
  <c r="M2759" i="1"/>
  <c r="A1944" i="1"/>
  <c r="G1944" i="1"/>
  <c r="H1944" i="1"/>
  <c r="I1944" i="1"/>
  <c r="J1944" i="1"/>
  <c r="M1944" i="1"/>
  <c r="A321" i="1"/>
  <c r="G321" i="1"/>
  <c r="H321" i="1"/>
  <c r="I321" i="1"/>
  <c r="J321" i="1"/>
  <c r="K321" i="1"/>
  <c r="M321" i="1"/>
  <c r="A322" i="1"/>
  <c r="G322" i="1"/>
  <c r="H322" i="1"/>
  <c r="I322" i="1"/>
  <c r="J322" i="1"/>
  <c r="L322" i="1"/>
  <c r="M322" i="1"/>
  <c r="A323" i="1"/>
  <c r="G323" i="1"/>
  <c r="H323" i="1"/>
  <c r="I323" i="1"/>
  <c r="J323" i="1"/>
  <c r="K323" i="1"/>
  <c r="M323" i="1"/>
  <c r="A1945" i="1"/>
  <c r="G1945" i="1"/>
  <c r="H1945" i="1"/>
  <c r="I1945" i="1"/>
  <c r="J1945" i="1"/>
  <c r="A324" i="1"/>
  <c r="G324" i="1"/>
  <c r="H324" i="1"/>
  <c r="I324" i="1"/>
  <c r="J324" i="1"/>
  <c r="K324" i="1"/>
  <c r="M324" i="1"/>
  <c r="A325" i="1"/>
  <c r="G325" i="1"/>
  <c r="H325" i="1"/>
  <c r="I325" i="1"/>
  <c r="J325" i="1"/>
  <c r="K325" i="1"/>
  <c r="M325" i="1"/>
  <c r="A326" i="1"/>
  <c r="G326" i="1"/>
  <c r="H326" i="1"/>
  <c r="I326" i="1"/>
  <c r="J326" i="1"/>
  <c r="K326" i="1"/>
  <c r="M326" i="1"/>
  <c r="A327" i="1"/>
  <c r="G327" i="1"/>
  <c r="H327" i="1"/>
  <c r="I327" i="1"/>
  <c r="J327" i="1"/>
  <c r="K327" i="1"/>
  <c r="M327" i="1"/>
  <c r="A3012" i="1"/>
  <c r="G3012" i="1"/>
  <c r="H3012" i="1"/>
  <c r="I3012" i="1"/>
  <c r="J3012" i="1"/>
  <c r="K3012" i="1"/>
  <c r="M3012" i="1"/>
  <c r="A4190" i="1"/>
  <c r="G4190" i="1"/>
  <c r="H4190" i="1"/>
  <c r="I4190" i="1"/>
  <c r="J4190" i="1"/>
  <c r="K4190" i="1"/>
  <c r="M4190" i="1"/>
  <c r="A4149" i="1"/>
  <c r="G4149" i="1"/>
  <c r="H4149" i="1"/>
  <c r="I4149" i="1"/>
  <c r="J4149" i="1"/>
  <c r="K4149" i="1"/>
  <c r="M4149" i="1"/>
  <c r="A3013" i="1"/>
  <c r="G3013" i="1"/>
  <c r="H3013" i="1"/>
  <c r="I3013" i="1"/>
  <c r="J3013" i="1"/>
  <c r="K3013" i="1"/>
  <c r="M3013" i="1"/>
  <c r="A1946" i="1"/>
  <c r="G1946" i="1"/>
  <c r="H1946" i="1"/>
  <c r="I1946" i="1"/>
  <c r="J1946" i="1"/>
  <c r="K1946" i="1"/>
  <c r="M1946" i="1"/>
  <c r="A1947" i="1"/>
  <c r="G1947" i="1"/>
  <c r="H1947" i="1"/>
  <c r="I1947" i="1"/>
  <c r="J1947" i="1"/>
  <c r="K1947" i="1"/>
  <c r="M1947" i="1"/>
  <c r="A1948" i="1"/>
  <c r="G1948" i="1"/>
  <c r="H1948" i="1"/>
  <c r="I1948" i="1"/>
  <c r="J1948" i="1"/>
  <c r="K1948" i="1"/>
  <c r="M1948" i="1"/>
  <c r="A4374" i="1"/>
  <c r="G4374" i="1"/>
  <c r="H4374" i="1"/>
  <c r="I4374" i="1"/>
  <c r="J4374" i="1"/>
  <c r="M4374" i="1"/>
  <c r="A3014" i="1"/>
  <c r="G3014" i="1"/>
  <c r="H3014" i="1"/>
  <c r="I3014" i="1"/>
  <c r="J3014" i="1"/>
  <c r="K3014" i="1"/>
  <c r="M3014" i="1"/>
  <c r="A2760" i="1"/>
  <c r="G2760" i="1"/>
  <c r="H2760" i="1"/>
  <c r="I2760" i="1"/>
  <c r="J2760" i="1"/>
  <c r="K2760" i="1"/>
  <c r="M2760" i="1"/>
  <c r="A328" i="1"/>
  <c r="G328" i="1"/>
  <c r="H328" i="1"/>
  <c r="I328" i="1"/>
  <c r="J328" i="1"/>
  <c r="K328" i="1"/>
  <c r="M328" i="1"/>
  <c r="A1949" i="1"/>
  <c r="G1949" i="1"/>
  <c r="H1949" i="1"/>
  <c r="I1949" i="1"/>
  <c r="J1949" i="1"/>
  <c r="M1949" i="1"/>
  <c r="A3015" i="1"/>
  <c r="G3015" i="1"/>
  <c r="H3015" i="1"/>
  <c r="I3015" i="1"/>
  <c r="J3015" i="1"/>
  <c r="A3016" i="1"/>
  <c r="G3016" i="1"/>
  <c r="H3016" i="1"/>
  <c r="I3016" i="1"/>
  <c r="J3016" i="1"/>
  <c r="K3016" i="1"/>
  <c r="M3016" i="1"/>
  <c r="A2842" i="1"/>
  <c r="G2842" i="1"/>
  <c r="H2842" i="1"/>
  <c r="I2842" i="1"/>
  <c r="J2842" i="1"/>
  <c r="K2842" i="1"/>
  <c r="M2842" i="1"/>
  <c r="A329" i="1"/>
  <c r="G329" i="1"/>
  <c r="H329" i="1"/>
  <c r="I329" i="1"/>
  <c r="J329" i="1"/>
  <c r="K329" i="1"/>
  <c r="M329" i="1"/>
  <c r="A4375" i="1"/>
  <c r="G4375" i="1"/>
  <c r="H4375" i="1"/>
  <c r="I4375" i="1"/>
  <c r="J4375" i="1"/>
  <c r="K4375" i="1"/>
  <c r="M4375" i="1"/>
  <c r="A1950" i="1"/>
  <c r="G1950" i="1"/>
  <c r="H1950" i="1"/>
  <c r="I1950" i="1"/>
  <c r="J1950" i="1"/>
  <c r="K1950" i="1"/>
  <c r="M1950" i="1"/>
  <c r="A330" i="1"/>
  <c r="G330" i="1"/>
  <c r="H330" i="1"/>
  <c r="I330" i="1"/>
  <c r="J330" i="1"/>
  <c r="K330" i="1"/>
  <c r="M330" i="1"/>
  <c r="A3017" i="1"/>
  <c r="G3017" i="1"/>
  <c r="H3017" i="1"/>
  <c r="I3017" i="1"/>
  <c r="J3017" i="1"/>
  <c r="K3017" i="1"/>
  <c r="M3017" i="1"/>
  <c r="A331" i="1"/>
  <c r="G331" i="1"/>
  <c r="H331" i="1"/>
  <c r="I331" i="1"/>
  <c r="J331" i="1"/>
  <c r="M331" i="1"/>
  <c r="A14" i="1"/>
  <c r="G14" i="1"/>
  <c r="H14" i="1"/>
  <c r="I14" i="1"/>
  <c r="J14" i="1"/>
  <c r="K14" i="1"/>
  <c r="M14" i="1"/>
  <c r="A3018" i="1"/>
  <c r="G3018" i="1"/>
  <c r="H3018" i="1"/>
  <c r="I3018" i="1"/>
  <c r="J3018" i="1"/>
  <c r="A15" i="1"/>
  <c r="G15" i="1"/>
  <c r="H15" i="1"/>
  <c r="I15" i="1"/>
  <c r="J15" i="1"/>
  <c r="K15" i="1"/>
  <c r="L15" i="1"/>
  <c r="M15" i="1"/>
  <c r="A1951" i="1"/>
  <c r="G1951" i="1"/>
  <c r="H1951" i="1"/>
  <c r="I1951" i="1"/>
  <c r="J1951" i="1"/>
  <c r="A2843" i="1"/>
  <c r="G2843" i="1"/>
  <c r="H2843" i="1"/>
  <c r="I2843" i="1"/>
  <c r="J2843" i="1"/>
  <c r="K2843" i="1"/>
  <c r="M2843" i="1"/>
  <c r="A4376" i="1"/>
  <c r="G4376" i="1"/>
  <c r="H4376" i="1"/>
  <c r="I4376" i="1"/>
  <c r="J4376" i="1"/>
  <c r="M4376" i="1"/>
  <c r="A4377" i="1"/>
  <c r="G4377" i="1"/>
  <c r="H4377" i="1"/>
  <c r="I4377" i="1"/>
  <c r="J4377" i="1"/>
  <c r="K4377" i="1"/>
  <c r="M4377" i="1"/>
  <c r="A3019" i="1"/>
  <c r="G3019" i="1"/>
  <c r="H3019" i="1"/>
  <c r="I3019" i="1"/>
  <c r="J3019" i="1"/>
  <c r="K3019" i="1"/>
  <c r="M3019" i="1"/>
  <c r="A332" i="1"/>
  <c r="G332" i="1"/>
  <c r="H332" i="1"/>
  <c r="I332" i="1"/>
  <c r="J332" i="1"/>
  <c r="K332" i="1"/>
  <c r="M332" i="1"/>
  <c r="A3020" i="1"/>
  <c r="G3020" i="1"/>
  <c r="H3020" i="1"/>
  <c r="I3020" i="1"/>
  <c r="J3020" i="1"/>
  <c r="K3020" i="1"/>
  <c r="M3020" i="1"/>
  <c r="A3021" i="1"/>
  <c r="G3021" i="1"/>
  <c r="H3021" i="1"/>
  <c r="I3021" i="1"/>
  <c r="J3021" i="1"/>
  <c r="A3022" i="1"/>
  <c r="G3022" i="1"/>
  <c r="H3022" i="1"/>
  <c r="I3022" i="1"/>
  <c r="J3022" i="1"/>
  <c r="A1952" i="1"/>
  <c r="G1952" i="1"/>
  <c r="H1952" i="1"/>
  <c r="I1952" i="1"/>
  <c r="J1952" i="1"/>
  <c r="A1953" i="1"/>
  <c r="G1953" i="1"/>
  <c r="H1953" i="1"/>
  <c r="I1953" i="1"/>
  <c r="J1953" i="1"/>
  <c r="K1953" i="1"/>
  <c r="M1953" i="1"/>
  <c r="A3023" i="1"/>
  <c r="G3023" i="1"/>
  <c r="H3023" i="1"/>
  <c r="I3023" i="1"/>
  <c r="J3023" i="1"/>
  <c r="K3023" i="1"/>
  <c r="M3023" i="1"/>
  <c r="A1954" i="1"/>
  <c r="G1954" i="1"/>
  <c r="H1954" i="1"/>
  <c r="I1954" i="1"/>
  <c r="J1954" i="1"/>
  <c r="A333" i="1"/>
  <c r="G333" i="1"/>
  <c r="H333" i="1"/>
  <c r="I333" i="1"/>
  <c r="J333" i="1"/>
  <c r="M333" i="1"/>
  <c r="A334" i="1"/>
  <c r="G334" i="1"/>
  <c r="H334" i="1"/>
  <c r="I334" i="1"/>
  <c r="J334" i="1"/>
  <c r="K334" i="1"/>
  <c r="M334" i="1"/>
  <c r="A16" i="1"/>
  <c r="G16" i="1"/>
  <c r="H16" i="1"/>
  <c r="I16" i="1"/>
  <c r="J16" i="1"/>
  <c r="K16" i="1"/>
  <c r="M16" i="1"/>
  <c r="A335" i="1"/>
  <c r="G335" i="1"/>
  <c r="H335" i="1"/>
  <c r="I335" i="1"/>
  <c r="J335" i="1"/>
  <c r="K335" i="1"/>
  <c r="M335" i="1"/>
  <c r="A336" i="1"/>
  <c r="G336" i="1"/>
  <c r="H336" i="1"/>
  <c r="I336" i="1"/>
  <c r="J336" i="1"/>
  <c r="K336" i="1"/>
  <c r="M336" i="1"/>
  <c r="A3024" i="1"/>
  <c r="G3024" i="1"/>
  <c r="H3024" i="1"/>
  <c r="I3024" i="1"/>
  <c r="J3024" i="1"/>
  <c r="K3024" i="1"/>
  <c r="M3024" i="1"/>
  <c r="A337" i="1"/>
  <c r="G337" i="1"/>
  <c r="H337" i="1"/>
  <c r="I337" i="1"/>
  <c r="J337" i="1"/>
  <c r="K337" i="1"/>
  <c r="M337" i="1"/>
  <c r="A338" i="1"/>
  <c r="G338" i="1"/>
  <c r="H338" i="1"/>
  <c r="I338" i="1"/>
  <c r="J338" i="1"/>
  <c r="K338" i="1"/>
  <c r="M338" i="1"/>
  <c r="A3025" i="1"/>
  <c r="G3025" i="1"/>
  <c r="H3025" i="1"/>
  <c r="I3025" i="1"/>
  <c r="J3025" i="1"/>
  <c r="K3025" i="1"/>
  <c r="M3025" i="1"/>
  <c r="A4191" i="1"/>
  <c r="G4191" i="1"/>
  <c r="H4191" i="1"/>
  <c r="I4191" i="1"/>
  <c r="J4191" i="1"/>
  <c r="K4191" i="1"/>
  <c r="M4191" i="1"/>
  <c r="A1955" i="1"/>
  <c r="G1955" i="1"/>
  <c r="H1955" i="1"/>
  <c r="I1955" i="1"/>
  <c r="J1955" i="1"/>
  <c r="K1955" i="1"/>
  <c r="M1955" i="1"/>
  <c r="A339" i="1"/>
  <c r="G339" i="1"/>
  <c r="H339" i="1"/>
  <c r="I339" i="1"/>
  <c r="J339" i="1"/>
  <c r="K339" i="1"/>
  <c r="M339" i="1"/>
  <c r="A340" i="1"/>
  <c r="G340" i="1"/>
  <c r="H340" i="1"/>
  <c r="I340" i="1"/>
  <c r="J340" i="1"/>
  <c r="K340" i="1"/>
  <c r="M340" i="1"/>
  <c r="A3026" i="1"/>
  <c r="G3026" i="1"/>
  <c r="H3026" i="1"/>
  <c r="I3026" i="1"/>
  <c r="J3026" i="1"/>
  <c r="A341" i="1"/>
  <c r="G341" i="1"/>
  <c r="H341" i="1"/>
  <c r="I341" i="1"/>
  <c r="J341" i="1"/>
  <c r="M341" i="1"/>
  <c r="A3027" i="1"/>
  <c r="G3027" i="1"/>
  <c r="H3027" i="1"/>
  <c r="I3027" i="1"/>
  <c r="J3027" i="1"/>
  <c r="K3027" i="1"/>
  <c r="M3027" i="1"/>
  <c r="A1956" i="1"/>
  <c r="G1956" i="1"/>
  <c r="H1956" i="1"/>
  <c r="I1956" i="1"/>
  <c r="J1956" i="1"/>
  <c r="K1956" i="1"/>
  <c r="M1956" i="1"/>
  <c r="A3028" i="1"/>
  <c r="G3028" i="1"/>
  <c r="H3028" i="1"/>
  <c r="I3028" i="1"/>
  <c r="J3028" i="1"/>
  <c r="K3028" i="1"/>
  <c r="M3028" i="1"/>
  <c r="A3029" i="1"/>
  <c r="G3029" i="1"/>
  <c r="H3029" i="1"/>
  <c r="I3029" i="1"/>
  <c r="J3029" i="1"/>
  <c r="K3029" i="1"/>
  <c r="M3029" i="1"/>
  <c r="A342" i="1"/>
  <c r="G342" i="1"/>
  <c r="H342" i="1"/>
  <c r="I342" i="1"/>
  <c r="J342" i="1"/>
  <c r="K342" i="1"/>
  <c r="M342" i="1"/>
  <c r="A1957" i="1"/>
  <c r="G1957" i="1"/>
  <c r="H1957" i="1"/>
  <c r="I1957" i="1"/>
  <c r="J1957" i="1"/>
  <c r="A3030" i="1"/>
  <c r="G3030" i="1"/>
  <c r="H3030" i="1"/>
  <c r="I3030" i="1"/>
  <c r="J3030" i="1"/>
  <c r="K3030" i="1"/>
  <c r="M3030" i="1"/>
  <c r="A1958" i="1"/>
  <c r="G1958" i="1"/>
  <c r="H1958" i="1"/>
  <c r="I1958" i="1"/>
  <c r="J1958" i="1"/>
  <c r="K1958" i="1"/>
  <c r="M1958" i="1"/>
  <c r="A1959" i="1"/>
  <c r="G1959" i="1"/>
  <c r="H1959" i="1"/>
  <c r="I1959" i="1"/>
  <c r="J1959" i="1"/>
  <c r="K1959" i="1"/>
  <c r="M1959" i="1"/>
  <c r="A3031" i="1"/>
  <c r="G3031" i="1"/>
  <c r="H3031" i="1"/>
  <c r="I3031" i="1"/>
  <c r="J3031" i="1"/>
  <c r="A1960" i="1"/>
  <c r="G1960" i="1"/>
  <c r="H1960" i="1"/>
  <c r="I1960" i="1"/>
  <c r="J1960" i="1"/>
  <c r="A1961" i="1"/>
  <c r="G1961" i="1"/>
  <c r="H1961" i="1"/>
  <c r="I1961" i="1"/>
  <c r="J1961" i="1"/>
  <c r="K1961" i="1"/>
  <c r="M1961" i="1"/>
  <c r="A4378" i="1"/>
  <c r="G4378" i="1"/>
  <c r="H4378" i="1"/>
  <c r="I4378" i="1"/>
  <c r="J4378" i="1"/>
  <c r="K4378" i="1"/>
  <c r="M4378" i="1"/>
  <c r="A3032" i="1"/>
  <c r="G3032" i="1"/>
  <c r="H3032" i="1"/>
  <c r="I3032" i="1"/>
  <c r="J3032" i="1"/>
  <c r="K3032" i="1"/>
  <c r="M3032" i="1"/>
  <c r="A343" i="1"/>
  <c r="G343" i="1"/>
  <c r="H343" i="1"/>
  <c r="I343" i="1"/>
  <c r="J343" i="1"/>
  <c r="K343" i="1"/>
  <c r="M343" i="1"/>
  <c r="A344" i="1"/>
  <c r="G344" i="1"/>
  <c r="H344" i="1"/>
  <c r="I344" i="1"/>
  <c r="J344" i="1"/>
  <c r="K344" i="1"/>
  <c r="L344" i="1"/>
  <c r="M344" i="1"/>
  <c r="A1962" i="1"/>
  <c r="G1962" i="1"/>
  <c r="H1962" i="1"/>
  <c r="I1962" i="1"/>
  <c r="J1962" i="1"/>
  <c r="M1962" i="1"/>
  <c r="A345" i="1"/>
  <c r="G345" i="1"/>
  <c r="H345" i="1"/>
  <c r="I345" i="1"/>
  <c r="J345" i="1"/>
  <c r="K345" i="1"/>
  <c r="M345" i="1"/>
  <c r="A346" i="1"/>
  <c r="G346" i="1"/>
  <c r="H346" i="1"/>
  <c r="I346" i="1"/>
  <c r="J346" i="1"/>
  <c r="K346" i="1"/>
  <c r="M346" i="1"/>
  <c r="A347" i="1"/>
  <c r="G347" i="1"/>
  <c r="H347" i="1"/>
  <c r="I347" i="1"/>
  <c r="J347" i="1"/>
  <c r="K347" i="1"/>
  <c r="M347" i="1"/>
  <c r="A348" i="1"/>
  <c r="G348" i="1"/>
  <c r="H348" i="1"/>
  <c r="I348" i="1"/>
  <c r="J348" i="1"/>
  <c r="M348" i="1"/>
  <c r="A1963" i="1"/>
  <c r="G1963" i="1"/>
  <c r="H1963" i="1"/>
  <c r="I1963" i="1"/>
  <c r="J1963" i="1"/>
  <c r="K1963" i="1"/>
  <c r="M1963" i="1"/>
  <c r="A349" i="1"/>
  <c r="G349" i="1"/>
  <c r="H349" i="1"/>
  <c r="I349" i="1"/>
  <c r="J349" i="1"/>
  <c r="K349" i="1"/>
  <c r="M349" i="1"/>
  <c r="A4809" i="1"/>
  <c r="G4809" i="1"/>
  <c r="H4809" i="1"/>
  <c r="I4809" i="1"/>
  <c r="J4809" i="1"/>
  <c r="K4809" i="1"/>
  <c r="L4809" i="1"/>
  <c r="M4809" i="1"/>
  <c r="A350" i="1"/>
  <c r="G350" i="1"/>
  <c r="H350" i="1"/>
  <c r="I350" i="1"/>
  <c r="J350" i="1"/>
  <c r="K350" i="1"/>
  <c r="M350" i="1"/>
  <c r="A351" i="1"/>
  <c r="G351" i="1"/>
  <c r="H351" i="1"/>
  <c r="I351" i="1"/>
  <c r="J351" i="1"/>
  <c r="K351" i="1"/>
  <c r="M351" i="1"/>
  <c r="A1964" i="1"/>
  <c r="G1964" i="1"/>
  <c r="H1964" i="1"/>
  <c r="I1964" i="1"/>
  <c r="J1964" i="1"/>
  <c r="K1964" i="1"/>
  <c r="M1964" i="1"/>
  <c r="A352" i="1"/>
  <c r="G352" i="1"/>
  <c r="H352" i="1"/>
  <c r="I352" i="1"/>
  <c r="J352" i="1"/>
  <c r="K352" i="1"/>
  <c r="M352" i="1"/>
  <c r="A353" i="1"/>
  <c r="G353" i="1"/>
  <c r="H353" i="1"/>
  <c r="I353" i="1"/>
  <c r="J353" i="1"/>
  <c r="K353" i="1"/>
  <c r="M353" i="1"/>
  <c r="A3033" i="1"/>
  <c r="G3033" i="1"/>
  <c r="H3033" i="1"/>
  <c r="I3033" i="1"/>
  <c r="J3033" i="1"/>
  <c r="K3033" i="1"/>
  <c r="M3033" i="1"/>
  <c r="A1965" i="1"/>
  <c r="G1965" i="1"/>
  <c r="H1965" i="1"/>
  <c r="I1965" i="1"/>
  <c r="J1965" i="1"/>
  <c r="K1965" i="1"/>
  <c r="M1965" i="1"/>
  <c r="A3034" i="1"/>
  <c r="G3034" i="1"/>
  <c r="H3034" i="1"/>
  <c r="I3034" i="1"/>
  <c r="J3034" i="1"/>
  <c r="A17" i="1"/>
  <c r="G17" i="1"/>
  <c r="H17" i="1"/>
  <c r="I17" i="1"/>
  <c r="J17" i="1"/>
  <c r="K17" i="1"/>
  <c r="M17" i="1"/>
  <c r="A18" i="1"/>
  <c r="G18" i="1"/>
  <c r="H18" i="1"/>
  <c r="I18" i="1"/>
  <c r="J18" i="1"/>
  <c r="K18" i="1"/>
  <c r="M18" i="1"/>
  <c r="A354" i="1"/>
  <c r="G354" i="1"/>
  <c r="H354" i="1"/>
  <c r="I354" i="1"/>
  <c r="J354" i="1"/>
  <c r="K354" i="1"/>
  <c r="M354" i="1"/>
  <c r="A355" i="1"/>
  <c r="G355" i="1"/>
  <c r="H355" i="1"/>
  <c r="I355" i="1"/>
  <c r="J355" i="1"/>
  <c r="L355" i="1"/>
  <c r="M355" i="1"/>
  <c r="A356" i="1"/>
  <c r="G356" i="1"/>
  <c r="H356" i="1"/>
  <c r="I356" i="1"/>
  <c r="J356" i="1"/>
  <c r="K356" i="1"/>
  <c r="M356" i="1"/>
  <c r="A357" i="1"/>
  <c r="G357" i="1"/>
  <c r="H357" i="1"/>
  <c r="I357" i="1"/>
  <c r="J357" i="1"/>
  <c r="K357" i="1"/>
  <c r="M357" i="1"/>
  <c r="A358" i="1"/>
  <c r="G358" i="1"/>
  <c r="H358" i="1"/>
  <c r="I358" i="1"/>
  <c r="J358" i="1"/>
  <c r="K358" i="1"/>
  <c r="M358" i="1"/>
  <c r="A359" i="1"/>
  <c r="G359" i="1"/>
  <c r="H359" i="1"/>
  <c r="I359" i="1"/>
  <c r="J359" i="1"/>
  <c r="K359" i="1"/>
  <c r="M359" i="1"/>
  <c r="A360" i="1"/>
  <c r="G360" i="1"/>
  <c r="H360" i="1"/>
  <c r="I360" i="1"/>
  <c r="J360" i="1"/>
  <c r="M360" i="1"/>
  <c r="A361" i="1"/>
  <c r="G361" i="1"/>
  <c r="H361" i="1"/>
  <c r="I361" i="1"/>
  <c r="J361" i="1"/>
  <c r="K361" i="1"/>
  <c r="M361" i="1"/>
  <c r="A362" i="1"/>
  <c r="G362" i="1"/>
  <c r="H362" i="1"/>
  <c r="I362" i="1"/>
  <c r="J362" i="1"/>
  <c r="K362" i="1"/>
  <c r="M362" i="1"/>
  <c r="A19" i="1"/>
  <c r="G19" i="1"/>
  <c r="H19" i="1"/>
  <c r="I19" i="1"/>
  <c r="J19" i="1"/>
  <c r="A363" i="1"/>
  <c r="G363" i="1"/>
  <c r="H363" i="1"/>
  <c r="I363" i="1"/>
  <c r="J363" i="1"/>
  <c r="K363" i="1"/>
  <c r="M363" i="1"/>
  <c r="A364" i="1"/>
  <c r="G364" i="1"/>
  <c r="H364" i="1"/>
  <c r="I364" i="1"/>
  <c r="J364" i="1"/>
  <c r="K364" i="1"/>
  <c r="M364" i="1"/>
  <c r="A1966" i="1"/>
  <c r="G1966" i="1"/>
  <c r="H1966" i="1"/>
  <c r="I1966" i="1"/>
  <c r="J1966" i="1"/>
  <c r="K1966" i="1"/>
  <c r="L1966" i="1"/>
  <c r="M1966" i="1"/>
  <c r="A3035" i="1"/>
  <c r="G3035" i="1"/>
  <c r="H3035" i="1"/>
  <c r="I3035" i="1"/>
  <c r="J3035" i="1"/>
  <c r="K3035" i="1"/>
  <c r="M3035" i="1"/>
  <c r="A4192" i="1"/>
  <c r="G4192" i="1"/>
  <c r="H4192" i="1"/>
  <c r="I4192" i="1"/>
  <c r="J4192" i="1"/>
  <c r="K4192" i="1"/>
  <c r="M4192" i="1"/>
  <c r="A4379" i="1"/>
  <c r="G4379" i="1"/>
  <c r="H4379" i="1"/>
  <c r="I4379" i="1"/>
  <c r="J4379" i="1"/>
  <c r="K4379" i="1"/>
  <c r="M4379" i="1"/>
  <c r="A365" i="1"/>
  <c r="G365" i="1"/>
  <c r="H365" i="1"/>
  <c r="I365" i="1"/>
  <c r="J365" i="1"/>
  <c r="M365" i="1"/>
  <c r="A3036" i="1"/>
  <c r="G3036" i="1"/>
  <c r="H3036" i="1"/>
  <c r="I3036" i="1"/>
  <c r="J3036" i="1"/>
  <c r="A3037" i="1"/>
  <c r="G3037" i="1"/>
  <c r="H3037" i="1"/>
  <c r="I3037" i="1"/>
  <c r="J3037" i="1"/>
  <c r="K3037" i="1"/>
  <c r="M3037" i="1"/>
  <c r="A3038" i="1"/>
  <c r="G3038" i="1"/>
  <c r="H3038" i="1"/>
  <c r="I3038" i="1"/>
  <c r="J3038" i="1"/>
  <c r="K3038" i="1"/>
  <c r="M3038" i="1"/>
  <c r="A4193" i="1"/>
  <c r="G4193" i="1"/>
  <c r="H4193" i="1"/>
  <c r="I4193" i="1"/>
  <c r="J4193" i="1"/>
  <c r="K4193" i="1"/>
  <c r="M4193" i="1"/>
  <c r="A4646" i="1"/>
  <c r="G4646" i="1"/>
  <c r="H4646" i="1"/>
  <c r="I4646" i="1"/>
  <c r="J4646" i="1"/>
  <c r="M4646" i="1"/>
  <c r="A366" i="1"/>
  <c r="G366" i="1"/>
  <c r="H366" i="1"/>
  <c r="I366" i="1"/>
  <c r="J366" i="1"/>
  <c r="A367" i="1"/>
  <c r="G367" i="1"/>
  <c r="H367" i="1"/>
  <c r="I367" i="1"/>
  <c r="J367" i="1"/>
  <c r="K367" i="1"/>
  <c r="L367" i="1"/>
  <c r="M367" i="1"/>
  <c r="A368" i="1"/>
  <c r="G368" i="1"/>
  <c r="H368" i="1"/>
  <c r="I368" i="1"/>
  <c r="J368" i="1"/>
  <c r="K368" i="1"/>
  <c r="M368" i="1"/>
  <c r="A1967" i="1"/>
  <c r="G1967" i="1"/>
  <c r="H1967" i="1"/>
  <c r="I1967" i="1"/>
  <c r="J1967" i="1"/>
  <c r="K1967" i="1"/>
  <c r="M1967" i="1"/>
  <c r="A1968" i="1"/>
  <c r="G1968" i="1"/>
  <c r="H1968" i="1"/>
  <c r="I1968" i="1"/>
  <c r="J1968" i="1"/>
  <c r="A3039" i="1"/>
  <c r="G3039" i="1"/>
  <c r="H3039" i="1"/>
  <c r="I3039" i="1"/>
  <c r="J3039" i="1"/>
  <c r="K3039" i="1"/>
  <c r="M3039" i="1"/>
  <c r="A369" i="1"/>
  <c r="G369" i="1"/>
  <c r="H369" i="1"/>
  <c r="I369" i="1"/>
  <c r="J369" i="1"/>
  <c r="K369" i="1"/>
  <c r="M369" i="1"/>
  <c r="A370" i="1"/>
  <c r="G370" i="1"/>
  <c r="H370" i="1"/>
  <c r="I370" i="1"/>
  <c r="J370" i="1"/>
  <c r="K370" i="1"/>
  <c r="M370" i="1"/>
  <c r="A1969" i="1"/>
  <c r="G1969" i="1"/>
  <c r="H1969" i="1"/>
  <c r="I1969" i="1"/>
  <c r="J1969" i="1"/>
  <c r="K1969" i="1"/>
  <c r="M1969" i="1"/>
  <c r="A371" i="1"/>
  <c r="G371" i="1"/>
  <c r="H371" i="1"/>
  <c r="I371" i="1"/>
  <c r="J371" i="1"/>
  <c r="K371" i="1"/>
  <c r="M371" i="1"/>
  <c r="A372" i="1"/>
  <c r="G372" i="1"/>
  <c r="H372" i="1"/>
  <c r="I372" i="1"/>
  <c r="J372" i="1"/>
  <c r="K372" i="1"/>
  <c r="M372" i="1"/>
  <c r="A1970" i="1"/>
  <c r="G1970" i="1"/>
  <c r="H1970" i="1"/>
  <c r="I1970" i="1"/>
  <c r="J1970" i="1"/>
  <c r="K1970" i="1"/>
  <c r="M1970" i="1"/>
  <c r="A2761" i="1"/>
  <c r="G2761" i="1"/>
  <c r="H2761" i="1"/>
  <c r="I2761" i="1"/>
  <c r="J2761" i="1"/>
  <c r="K2761" i="1"/>
  <c r="M2761" i="1"/>
  <c r="A373" i="1"/>
  <c r="G373" i="1"/>
  <c r="H373" i="1"/>
  <c r="I373" i="1"/>
  <c r="J373" i="1"/>
  <c r="K373" i="1"/>
  <c r="M373" i="1"/>
  <c r="A3040" i="1"/>
  <c r="G3040" i="1"/>
  <c r="H3040" i="1"/>
  <c r="I3040" i="1"/>
  <c r="J3040" i="1"/>
  <c r="K3040" i="1"/>
  <c r="M3040" i="1"/>
  <c r="A1971" i="1"/>
  <c r="G1971" i="1"/>
  <c r="H1971" i="1"/>
  <c r="I1971" i="1"/>
  <c r="J1971" i="1"/>
  <c r="K1971" i="1"/>
  <c r="M1971" i="1"/>
  <c r="A4380" i="1"/>
  <c r="G4380" i="1"/>
  <c r="H4380" i="1"/>
  <c r="I4380" i="1"/>
  <c r="J4380" i="1"/>
  <c r="K4380" i="1"/>
  <c r="M4380" i="1"/>
  <c r="A374" i="1"/>
  <c r="G374" i="1"/>
  <c r="H374" i="1"/>
  <c r="I374" i="1"/>
  <c r="J374" i="1"/>
  <c r="M374" i="1"/>
  <c r="A375" i="1"/>
  <c r="G375" i="1"/>
  <c r="H375" i="1"/>
  <c r="I375" i="1"/>
  <c r="J375" i="1"/>
  <c r="K375" i="1"/>
  <c r="M375" i="1"/>
  <c r="A3041" i="1"/>
  <c r="G3041" i="1"/>
  <c r="H3041" i="1"/>
  <c r="I3041" i="1"/>
  <c r="J3041" i="1"/>
  <c r="A1972" i="1"/>
  <c r="G1972" i="1"/>
  <c r="H1972" i="1"/>
  <c r="I1972" i="1"/>
  <c r="J1972" i="1"/>
  <c r="A376" i="1"/>
  <c r="G376" i="1"/>
  <c r="H376" i="1"/>
  <c r="I376" i="1"/>
  <c r="J376" i="1"/>
  <c r="K376" i="1"/>
  <c r="M376" i="1"/>
  <c r="A4381" i="1"/>
  <c r="G4381" i="1"/>
  <c r="H4381" i="1"/>
  <c r="I4381" i="1"/>
  <c r="J4381" i="1"/>
  <c r="K4381" i="1"/>
  <c r="M4381" i="1"/>
  <c r="A1973" i="1"/>
  <c r="G1973" i="1"/>
  <c r="H1973" i="1"/>
  <c r="I1973" i="1"/>
  <c r="J1973" i="1"/>
  <c r="K1973" i="1"/>
  <c r="M1973" i="1"/>
  <c r="A3042" i="1"/>
  <c r="G3042" i="1"/>
  <c r="H3042" i="1"/>
  <c r="I3042" i="1"/>
  <c r="J3042" i="1"/>
  <c r="K3042" i="1"/>
  <c r="M3042" i="1"/>
  <c r="A1974" i="1"/>
  <c r="G1974" i="1"/>
  <c r="H1974" i="1"/>
  <c r="I1974" i="1"/>
  <c r="J1974" i="1"/>
  <c r="K1974" i="1"/>
  <c r="M1974" i="1"/>
  <c r="A4382" i="1"/>
  <c r="G4382" i="1"/>
  <c r="H4382" i="1"/>
  <c r="I4382" i="1"/>
  <c r="J4382" i="1"/>
  <c r="K4382" i="1"/>
  <c r="M4382" i="1"/>
  <c r="A3043" i="1"/>
  <c r="G3043" i="1"/>
  <c r="H3043" i="1"/>
  <c r="I3043" i="1"/>
  <c r="J3043" i="1"/>
  <c r="A1975" i="1"/>
  <c r="G1975" i="1"/>
  <c r="H1975" i="1"/>
  <c r="I1975" i="1"/>
  <c r="J1975" i="1"/>
  <c r="K1975" i="1"/>
  <c r="M1975" i="1"/>
  <c r="A377" i="1"/>
  <c r="G377" i="1"/>
  <c r="H377" i="1"/>
  <c r="I377" i="1"/>
  <c r="J377" i="1"/>
  <c r="K377" i="1"/>
  <c r="M377" i="1"/>
  <c r="A378" i="1"/>
  <c r="G378" i="1"/>
  <c r="H378" i="1"/>
  <c r="I378" i="1"/>
  <c r="J378" i="1"/>
  <c r="K378" i="1"/>
  <c r="M378" i="1"/>
  <c r="A3044" i="1"/>
  <c r="G3044" i="1"/>
  <c r="H3044" i="1"/>
  <c r="I3044" i="1"/>
  <c r="J3044" i="1"/>
  <c r="K3044" i="1"/>
  <c r="M3044" i="1"/>
  <c r="A3045" i="1"/>
  <c r="G3045" i="1"/>
  <c r="H3045" i="1"/>
  <c r="I3045" i="1"/>
  <c r="J3045" i="1"/>
  <c r="A3046" i="1"/>
  <c r="G3046" i="1"/>
  <c r="H3046" i="1"/>
  <c r="I3046" i="1"/>
  <c r="J3046" i="1"/>
  <c r="A379" i="1"/>
  <c r="G379" i="1"/>
  <c r="H379" i="1"/>
  <c r="I379" i="1"/>
  <c r="J379" i="1"/>
  <c r="K379" i="1"/>
  <c r="M379" i="1"/>
  <c r="A4647" i="1"/>
  <c r="G4647" i="1"/>
  <c r="H4647" i="1"/>
  <c r="I4647" i="1"/>
  <c r="J4647" i="1"/>
  <c r="M4647" i="1"/>
  <c r="A1976" i="1"/>
  <c r="G1976" i="1"/>
  <c r="H1976" i="1"/>
  <c r="I1976" i="1"/>
  <c r="J1976" i="1"/>
  <c r="K1976" i="1"/>
  <c r="M1976" i="1"/>
  <c r="A380" i="1"/>
  <c r="G380" i="1"/>
  <c r="H380" i="1"/>
  <c r="I380" i="1"/>
  <c r="J380" i="1"/>
  <c r="M380" i="1"/>
  <c r="A1977" i="1"/>
  <c r="G1977" i="1"/>
  <c r="H1977" i="1"/>
  <c r="I1977" i="1"/>
  <c r="J1977" i="1"/>
  <c r="K1977" i="1"/>
  <c r="M1977" i="1"/>
  <c r="A4383" i="1"/>
  <c r="G4383" i="1"/>
  <c r="H4383" i="1"/>
  <c r="I4383" i="1"/>
  <c r="J4383" i="1"/>
  <c r="K4383" i="1"/>
  <c r="M4383" i="1"/>
  <c r="A381" i="1"/>
  <c r="G381" i="1"/>
  <c r="H381" i="1"/>
  <c r="I381" i="1"/>
  <c r="J381" i="1"/>
  <c r="M381" i="1"/>
  <c r="A1978" i="1"/>
  <c r="G1978" i="1"/>
  <c r="H1978" i="1"/>
  <c r="I1978" i="1"/>
  <c r="J1978" i="1"/>
  <c r="K1978" i="1"/>
  <c r="M1978" i="1"/>
  <c r="A1979" i="1"/>
  <c r="G1979" i="1"/>
  <c r="H1979" i="1"/>
  <c r="I1979" i="1"/>
  <c r="J1979" i="1"/>
  <c r="A3047" i="1"/>
  <c r="G3047" i="1"/>
  <c r="H3047" i="1"/>
  <c r="I3047" i="1"/>
  <c r="J3047" i="1"/>
  <c r="K3047" i="1"/>
  <c r="M3047" i="1"/>
  <c r="A4384" i="1"/>
  <c r="G4384" i="1"/>
  <c r="H4384" i="1"/>
  <c r="I4384" i="1"/>
  <c r="J4384" i="1"/>
  <c r="M4384" i="1"/>
  <c r="A1980" i="1"/>
  <c r="G1980" i="1"/>
  <c r="H1980" i="1"/>
  <c r="I1980" i="1"/>
  <c r="J1980" i="1"/>
  <c r="A382" i="1"/>
  <c r="G382" i="1"/>
  <c r="H382" i="1"/>
  <c r="I382" i="1"/>
  <c r="J382" i="1"/>
  <c r="M382" i="1"/>
  <c r="A1981" i="1"/>
  <c r="G1981" i="1"/>
  <c r="H1981" i="1"/>
  <c r="I1981" i="1"/>
  <c r="J1981" i="1"/>
  <c r="K1981" i="1"/>
  <c r="M1981" i="1"/>
  <c r="A3048" i="1"/>
  <c r="G3048" i="1"/>
  <c r="H3048" i="1"/>
  <c r="I3048" i="1"/>
  <c r="J3048" i="1"/>
  <c r="K3048" i="1"/>
  <c r="M3048" i="1"/>
  <c r="A3049" i="1"/>
  <c r="G3049" i="1"/>
  <c r="H3049" i="1"/>
  <c r="I3049" i="1"/>
  <c r="J3049" i="1"/>
  <c r="K3049" i="1"/>
  <c r="M3049" i="1"/>
  <c r="A383" i="1"/>
  <c r="G383" i="1"/>
  <c r="H383" i="1"/>
  <c r="I383" i="1"/>
  <c r="J383" i="1"/>
  <c r="K383" i="1"/>
  <c r="M383" i="1"/>
  <c r="A3050" i="1"/>
  <c r="G3050" i="1"/>
  <c r="H3050" i="1"/>
  <c r="I3050" i="1"/>
  <c r="J3050" i="1"/>
  <c r="A3051" i="1"/>
  <c r="G3051" i="1"/>
  <c r="H3051" i="1"/>
  <c r="I3051" i="1"/>
  <c r="J3051" i="1"/>
  <c r="K3051" i="1"/>
  <c r="M3051" i="1"/>
  <c r="A2844" i="1"/>
  <c r="G2844" i="1"/>
  <c r="H2844" i="1"/>
  <c r="I2844" i="1"/>
  <c r="J2844" i="1"/>
  <c r="K2844" i="1"/>
  <c r="M2844" i="1"/>
  <c r="A1982" i="1"/>
  <c r="G1982" i="1"/>
  <c r="H1982" i="1"/>
  <c r="I1982" i="1"/>
  <c r="J1982" i="1"/>
  <c r="A1983" i="1"/>
  <c r="G1983" i="1"/>
  <c r="H1983" i="1"/>
  <c r="I1983" i="1"/>
  <c r="J1983" i="1"/>
  <c r="K1983" i="1"/>
  <c r="M1983" i="1"/>
  <c r="A1984" i="1"/>
  <c r="G1984" i="1"/>
  <c r="H1984" i="1"/>
  <c r="I1984" i="1"/>
  <c r="J1984" i="1"/>
  <c r="A3052" i="1"/>
  <c r="G3052" i="1"/>
  <c r="H3052" i="1"/>
  <c r="I3052" i="1"/>
  <c r="J3052" i="1"/>
  <c r="A384" i="1"/>
  <c r="G384" i="1"/>
  <c r="H384" i="1"/>
  <c r="I384" i="1"/>
  <c r="J384" i="1"/>
  <c r="K384" i="1"/>
  <c r="M384" i="1"/>
  <c r="A3053" i="1"/>
  <c r="G3053" i="1"/>
  <c r="H3053" i="1"/>
  <c r="I3053" i="1"/>
  <c r="J3053" i="1"/>
  <c r="K3053" i="1"/>
  <c r="M3053" i="1"/>
  <c r="A385" i="1"/>
  <c r="G385" i="1"/>
  <c r="H385" i="1"/>
  <c r="I385" i="1"/>
  <c r="J385" i="1"/>
  <c r="K385" i="1"/>
  <c r="M385" i="1"/>
  <c r="A4648" i="1"/>
  <c r="G4648" i="1"/>
  <c r="H4648" i="1"/>
  <c r="I4648" i="1"/>
  <c r="J4648" i="1"/>
  <c r="M4648" i="1"/>
  <c r="A20" i="1"/>
  <c r="G20" i="1"/>
  <c r="H20" i="1"/>
  <c r="I20" i="1"/>
  <c r="J20" i="1"/>
  <c r="A1985" i="1"/>
  <c r="G1985" i="1"/>
  <c r="H1985" i="1"/>
  <c r="I1985" i="1"/>
  <c r="J1985" i="1"/>
  <c r="K1985" i="1"/>
  <c r="M1985" i="1"/>
  <c r="A386" i="1"/>
  <c r="G386" i="1"/>
  <c r="H386" i="1"/>
  <c r="I386" i="1"/>
  <c r="J386" i="1"/>
  <c r="K386" i="1"/>
  <c r="M386" i="1"/>
  <c r="A1986" i="1"/>
  <c r="G1986" i="1"/>
  <c r="H1986" i="1"/>
  <c r="I1986" i="1"/>
  <c r="J1986" i="1"/>
  <c r="A387" i="1"/>
  <c r="G387" i="1"/>
  <c r="H387" i="1"/>
  <c r="I387" i="1"/>
  <c r="J387" i="1"/>
  <c r="K387" i="1"/>
  <c r="M387" i="1"/>
  <c r="A1987" i="1"/>
  <c r="G1987" i="1"/>
  <c r="H1987" i="1"/>
  <c r="I1987" i="1"/>
  <c r="J1987" i="1"/>
  <c r="K1987" i="1"/>
  <c r="M1987" i="1"/>
  <c r="A3054" i="1"/>
  <c r="G3054" i="1"/>
  <c r="H3054" i="1"/>
  <c r="I3054" i="1"/>
  <c r="J3054" i="1"/>
  <c r="K3054" i="1"/>
  <c r="M3054" i="1"/>
  <c r="A388" i="1"/>
  <c r="G388" i="1"/>
  <c r="H388" i="1"/>
  <c r="I388" i="1"/>
  <c r="J388" i="1"/>
  <c r="K388" i="1"/>
  <c r="M388" i="1"/>
  <c r="A3055" i="1"/>
  <c r="G3055" i="1"/>
  <c r="H3055" i="1"/>
  <c r="I3055" i="1"/>
  <c r="J3055" i="1"/>
  <c r="A4649" i="1"/>
  <c r="G4649" i="1"/>
  <c r="H4649" i="1"/>
  <c r="I4649" i="1"/>
  <c r="J4649" i="1"/>
  <c r="M4649" i="1"/>
  <c r="A3056" i="1"/>
  <c r="G3056" i="1"/>
  <c r="H3056" i="1"/>
  <c r="I3056" i="1"/>
  <c r="J3056" i="1"/>
  <c r="K3056" i="1"/>
  <c r="M3056" i="1"/>
  <c r="A3057" i="1"/>
  <c r="G3057" i="1"/>
  <c r="H3057" i="1"/>
  <c r="I3057" i="1"/>
  <c r="J3057" i="1"/>
  <c r="K3057" i="1"/>
  <c r="M3057" i="1"/>
  <c r="A4150" i="1"/>
  <c r="G4150" i="1"/>
  <c r="H4150" i="1"/>
  <c r="I4150" i="1"/>
  <c r="J4150" i="1"/>
  <c r="K4150" i="1"/>
  <c r="M4150" i="1"/>
  <c r="A4810" i="1"/>
  <c r="G4810" i="1"/>
  <c r="H4810" i="1"/>
  <c r="I4810" i="1"/>
  <c r="J4810" i="1"/>
  <c r="K4810" i="1"/>
  <c r="L4810" i="1"/>
  <c r="M4810" i="1"/>
  <c r="A1988" i="1"/>
  <c r="G1988" i="1"/>
  <c r="H1988" i="1"/>
  <c r="I1988" i="1"/>
  <c r="J1988" i="1"/>
  <c r="K1988" i="1"/>
  <c r="M1988" i="1"/>
  <c r="A21" i="1"/>
  <c r="G21" i="1"/>
  <c r="H21" i="1"/>
  <c r="I21" i="1"/>
  <c r="J21" i="1"/>
  <c r="A3058" i="1"/>
  <c r="G3058" i="1"/>
  <c r="H3058" i="1"/>
  <c r="I3058" i="1"/>
  <c r="J3058" i="1"/>
  <c r="K3058" i="1"/>
  <c r="M3058" i="1"/>
  <c r="A389" i="1"/>
  <c r="G389" i="1"/>
  <c r="H389" i="1"/>
  <c r="I389" i="1"/>
  <c r="J389" i="1"/>
  <c r="K389" i="1"/>
  <c r="M389" i="1"/>
  <c r="A1989" i="1"/>
  <c r="G1989" i="1"/>
  <c r="H1989" i="1"/>
  <c r="I1989" i="1"/>
  <c r="J1989" i="1"/>
  <c r="K1989" i="1"/>
  <c r="M1989" i="1"/>
  <c r="A390" i="1"/>
  <c r="G390" i="1"/>
  <c r="H390" i="1"/>
  <c r="I390" i="1"/>
  <c r="J390" i="1"/>
  <c r="K390" i="1"/>
  <c r="M390" i="1"/>
  <c r="A391" i="1"/>
  <c r="G391" i="1"/>
  <c r="H391" i="1"/>
  <c r="I391" i="1"/>
  <c r="J391" i="1"/>
  <c r="K391" i="1"/>
  <c r="M391" i="1"/>
  <c r="A3059" i="1"/>
  <c r="G3059" i="1"/>
  <c r="H3059" i="1"/>
  <c r="I3059" i="1"/>
  <c r="J3059" i="1"/>
  <c r="A4650" i="1"/>
  <c r="G4650" i="1"/>
  <c r="H4650" i="1"/>
  <c r="I4650" i="1"/>
  <c r="J4650" i="1"/>
  <c r="M4650" i="1"/>
  <c r="A392" i="1"/>
  <c r="G392" i="1"/>
  <c r="H392" i="1"/>
  <c r="I392" i="1"/>
  <c r="J392" i="1"/>
  <c r="K392" i="1"/>
  <c r="M392" i="1"/>
  <c r="A393" i="1"/>
  <c r="G393" i="1"/>
  <c r="H393" i="1"/>
  <c r="I393" i="1"/>
  <c r="J393" i="1"/>
  <c r="M393" i="1"/>
  <c r="A394" i="1"/>
  <c r="G394" i="1"/>
  <c r="H394" i="1"/>
  <c r="I394" i="1"/>
  <c r="J394" i="1"/>
  <c r="K394" i="1"/>
  <c r="M394" i="1"/>
  <c r="A395" i="1"/>
  <c r="G395" i="1"/>
  <c r="H395" i="1"/>
  <c r="I395" i="1"/>
  <c r="J395" i="1"/>
  <c r="K395" i="1"/>
  <c r="M395" i="1"/>
  <c r="A1990" i="1"/>
  <c r="G1990" i="1"/>
  <c r="H1990" i="1"/>
  <c r="I1990" i="1"/>
  <c r="J1990" i="1"/>
  <c r="A3060" i="1"/>
  <c r="G3060" i="1"/>
  <c r="H3060" i="1"/>
  <c r="I3060" i="1"/>
  <c r="J3060" i="1"/>
  <c r="A1991" i="1"/>
  <c r="G1991" i="1"/>
  <c r="H1991" i="1"/>
  <c r="I1991" i="1"/>
  <c r="J1991" i="1"/>
  <c r="K1991" i="1"/>
  <c r="M1991" i="1"/>
  <c r="A22" i="1"/>
  <c r="G22" i="1"/>
  <c r="H22" i="1"/>
  <c r="I22" i="1"/>
  <c r="J22" i="1"/>
  <c r="K22" i="1"/>
  <c r="M22" i="1"/>
  <c r="A4194" i="1"/>
  <c r="G4194" i="1"/>
  <c r="H4194" i="1"/>
  <c r="I4194" i="1"/>
  <c r="J4194" i="1"/>
  <c r="K4194" i="1"/>
  <c r="M4194" i="1"/>
  <c r="A396" i="1"/>
  <c r="G396" i="1"/>
  <c r="H396" i="1"/>
  <c r="I396" i="1"/>
  <c r="J396" i="1"/>
  <c r="M396" i="1"/>
  <c r="A397" i="1"/>
  <c r="G397" i="1"/>
  <c r="H397" i="1"/>
  <c r="I397" i="1"/>
  <c r="J397" i="1"/>
  <c r="K397" i="1"/>
  <c r="M397" i="1"/>
  <c r="A398" i="1"/>
  <c r="G398" i="1"/>
  <c r="H398" i="1"/>
  <c r="I398" i="1"/>
  <c r="J398" i="1"/>
  <c r="K398" i="1"/>
  <c r="M398" i="1"/>
  <c r="A1992" i="1"/>
  <c r="G1992" i="1"/>
  <c r="H1992" i="1"/>
  <c r="I1992" i="1"/>
  <c r="J1992" i="1"/>
  <c r="A399" i="1"/>
  <c r="G399" i="1"/>
  <c r="H399" i="1"/>
  <c r="I399" i="1"/>
  <c r="J399" i="1"/>
  <c r="M399" i="1"/>
  <c r="A3061" i="1"/>
  <c r="G3061" i="1"/>
  <c r="H3061" i="1"/>
  <c r="I3061" i="1"/>
  <c r="J3061" i="1"/>
  <c r="A1993" i="1"/>
  <c r="G1993" i="1"/>
  <c r="H1993" i="1"/>
  <c r="I1993" i="1"/>
  <c r="J1993" i="1"/>
  <c r="A3062" i="1"/>
  <c r="G3062" i="1"/>
  <c r="H3062" i="1"/>
  <c r="I3062" i="1"/>
  <c r="J3062" i="1"/>
  <c r="K3062" i="1"/>
  <c r="M3062" i="1"/>
  <c r="A3063" i="1"/>
  <c r="G3063" i="1"/>
  <c r="H3063" i="1"/>
  <c r="I3063" i="1"/>
  <c r="J3063" i="1"/>
  <c r="A2845" i="1"/>
  <c r="G2845" i="1"/>
  <c r="H2845" i="1"/>
  <c r="I2845" i="1"/>
  <c r="J2845" i="1"/>
  <c r="K2845" i="1"/>
  <c r="M2845" i="1"/>
  <c r="A400" i="1"/>
  <c r="G400" i="1"/>
  <c r="H400" i="1"/>
  <c r="I400" i="1"/>
  <c r="J400" i="1"/>
  <c r="K400" i="1"/>
  <c r="M400" i="1"/>
  <c r="A4651" i="1"/>
  <c r="G4651" i="1"/>
  <c r="H4651" i="1"/>
  <c r="I4651" i="1"/>
  <c r="J4651" i="1"/>
  <c r="M4651" i="1"/>
  <c r="A3064" i="1"/>
  <c r="G3064" i="1"/>
  <c r="H3064" i="1"/>
  <c r="I3064" i="1"/>
  <c r="J3064" i="1"/>
  <c r="A3065" i="1"/>
  <c r="G3065" i="1"/>
  <c r="H3065" i="1"/>
  <c r="I3065" i="1"/>
  <c r="J3065" i="1"/>
  <c r="K3065" i="1"/>
  <c r="M3065" i="1"/>
  <c r="A3066" i="1"/>
  <c r="G3066" i="1"/>
  <c r="H3066" i="1"/>
  <c r="I3066" i="1"/>
  <c r="J3066" i="1"/>
  <c r="K3066" i="1"/>
  <c r="M3066" i="1"/>
  <c r="A401" i="1"/>
  <c r="G401" i="1"/>
  <c r="H401" i="1"/>
  <c r="I401" i="1"/>
  <c r="J401" i="1"/>
  <c r="K401" i="1"/>
  <c r="M401" i="1"/>
  <c r="A402" i="1"/>
  <c r="G402" i="1"/>
  <c r="H402" i="1"/>
  <c r="I402" i="1"/>
  <c r="J402" i="1"/>
  <c r="K402" i="1"/>
  <c r="M402" i="1"/>
  <c r="A1994" i="1"/>
  <c r="G1994" i="1"/>
  <c r="H1994" i="1"/>
  <c r="I1994" i="1"/>
  <c r="J1994" i="1"/>
  <c r="K1994" i="1"/>
  <c r="M1994" i="1"/>
  <c r="A3067" i="1"/>
  <c r="G3067" i="1"/>
  <c r="H3067" i="1"/>
  <c r="I3067" i="1"/>
  <c r="J3067" i="1"/>
  <c r="K3067" i="1"/>
  <c r="M3067" i="1"/>
  <c r="A3068" i="1"/>
  <c r="G3068" i="1"/>
  <c r="H3068" i="1"/>
  <c r="I3068" i="1"/>
  <c r="J3068" i="1"/>
  <c r="A403" i="1"/>
  <c r="G403" i="1"/>
  <c r="H403" i="1"/>
  <c r="I403" i="1"/>
  <c r="J403" i="1"/>
  <c r="K403" i="1"/>
  <c r="M403" i="1"/>
  <c r="A4652" i="1"/>
  <c r="G4652" i="1"/>
  <c r="H4652" i="1"/>
  <c r="I4652" i="1"/>
  <c r="J4652" i="1"/>
  <c r="M4652" i="1"/>
  <c r="A3069" i="1"/>
  <c r="G3069" i="1"/>
  <c r="H3069" i="1"/>
  <c r="I3069" i="1"/>
  <c r="J3069" i="1"/>
  <c r="A404" i="1"/>
  <c r="G404" i="1"/>
  <c r="H404" i="1"/>
  <c r="I404" i="1"/>
  <c r="J404" i="1"/>
  <c r="K404" i="1"/>
  <c r="M404" i="1"/>
  <c r="A4195" i="1"/>
  <c r="G4195" i="1"/>
  <c r="H4195" i="1"/>
  <c r="I4195" i="1"/>
  <c r="J4195" i="1"/>
  <c r="K4195" i="1"/>
  <c r="M4195" i="1"/>
  <c r="A3070" i="1"/>
  <c r="G3070" i="1"/>
  <c r="H3070" i="1"/>
  <c r="I3070" i="1"/>
  <c r="J3070" i="1"/>
  <c r="K3070" i="1"/>
  <c r="M3070" i="1"/>
  <c r="A2762" i="1"/>
  <c r="G2762" i="1"/>
  <c r="H2762" i="1"/>
  <c r="I2762" i="1"/>
  <c r="J2762" i="1"/>
  <c r="K2762" i="1"/>
  <c r="M2762" i="1"/>
  <c r="A405" i="1"/>
  <c r="G405" i="1"/>
  <c r="H405" i="1"/>
  <c r="I405" i="1"/>
  <c r="J405" i="1"/>
  <c r="K405" i="1"/>
  <c r="M405" i="1"/>
  <c r="A4385" i="1"/>
  <c r="G4385" i="1"/>
  <c r="H4385" i="1"/>
  <c r="I4385" i="1"/>
  <c r="J4385" i="1"/>
  <c r="K4385" i="1"/>
  <c r="M4385" i="1"/>
  <c r="A1995" i="1"/>
  <c r="G1995" i="1"/>
  <c r="H1995" i="1"/>
  <c r="I1995" i="1"/>
  <c r="J1995" i="1"/>
  <c r="A3071" i="1"/>
  <c r="G3071" i="1"/>
  <c r="H3071" i="1"/>
  <c r="I3071" i="1"/>
  <c r="J3071" i="1"/>
  <c r="K3071" i="1"/>
  <c r="M3071" i="1"/>
  <c r="A406" i="1"/>
  <c r="G406" i="1"/>
  <c r="H406" i="1"/>
  <c r="I406" i="1"/>
  <c r="J406" i="1"/>
  <c r="K406" i="1"/>
  <c r="M406" i="1"/>
  <c r="A1996" i="1"/>
  <c r="G1996" i="1"/>
  <c r="H1996" i="1"/>
  <c r="I1996" i="1"/>
  <c r="J1996" i="1"/>
  <c r="K1996" i="1"/>
  <c r="M1996" i="1"/>
  <c r="A1997" i="1"/>
  <c r="G1997" i="1"/>
  <c r="H1997" i="1"/>
  <c r="I1997" i="1"/>
  <c r="J1997" i="1"/>
  <c r="A1998" i="1"/>
  <c r="G1998" i="1"/>
  <c r="H1998" i="1"/>
  <c r="I1998" i="1"/>
  <c r="J1998" i="1"/>
  <c r="K1998" i="1"/>
  <c r="M1998" i="1"/>
  <c r="A407" i="1"/>
  <c r="G407" i="1"/>
  <c r="H407" i="1"/>
  <c r="I407" i="1"/>
  <c r="J407" i="1"/>
  <c r="K407" i="1"/>
  <c r="M407" i="1"/>
  <c r="A408" i="1"/>
  <c r="G408" i="1"/>
  <c r="H408" i="1"/>
  <c r="I408" i="1"/>
  <c r="J408" i="1"/>
  <c r="M408" i="1"/>
  <c r="A3072" i="1"/>
  <c r="G3072" i="1"/>
  <c r="H3072" i="1"/>
  <c r="I3072" i="1"/>
  <c r="J3072" i="1"/>
  <c r="A409" i="1"/>
  <c r="G409" i="1"/>
  <c r="H409" i="1"/>
  <c r="I409" i="1"/>
  <c r="J409" i="1"/>
  <c r="A3073" i="1"/>
  <c r="G3073" i="1"/>
  <c r="H3073" i="1"/>
  <c r="I3073" i="1"/>
  <c r="J3073" i="1"/>
  <c r="K3073" i="1"/>
  <c r="M3073" i="1"/>
  <c r="A3074" i="1"/>
  <c r="G3074" i="1"/>
  <c r="H3074" i="1"/>
  <c r="I3074" i="1"/>
  <c r="J3074" i="1"/>
  <c r="K3074" i="1"/>
  <c r="M3074" i="1"/>
  <c r="A1999" i="1"/>
  <c r="G1999" i="1"/>
  <c r="H1999" i="1"/>
  <c r="I1999" i="1"/>
  <c r="J1999" i="1"/>
  <c r="K1999" i="1"/>
  <c r="M1999" i="1"/>
  <c r="A410" i="1"/>
  <c r="G410" i="1"/>
  <c r="H410" i="1"/>
  <c r="I410" i="1"/>
  <c r="J410" i="1"/>
  <c r="K410" i="1"/>
  <c r="M410" i="1"/>
  <c r="A4653" i="1"/>
  <c r="G4653" i="1"/>
  <c r="H4653" i="1"/>
  <c r="I4653" i="1"/>
  <c r="J4653" i="1"/>
  <c r="M4653" i="1"/>
  <c r="A4654" i="1"/>
  <c r="G4654" i="1"/>
  <c r="H4654" i="1"/>
  <c r="I4654" i="1"/>
  <c r="J4654" i="1"/>
  <c r="M4654" i="1"/>
  <c r="A4386" i="1"/>
  <c r="G4386" i="1"/>
  <c r="H4386" i="1"/>
  <c r="I4386" i="1"/>
  <c r="J4386" i="1"/>
  <c r="M4386" i="1"/>
  <c r="A2000" i="1"/>
  <c r="G2000" i="1"/>
  <c r="H2000" i="1"/>
  <c r="I2000" i="1"/>
  <c r="J2000" i="1"/>
  <c r="K2000" i="1"/>
  <c r="M2000" i="1"/>
  <c r="A3075" i="1"/>
  <c r="G3075" i="1"/>
  <c r="H3075" i="1"/>
  <c r="I3075" i="1"/>
  <c r="J3075" i="1"/>
  <c r="K3075" i="1"/>
  <c r="M3075" i="1"/>
  <c r="A411" i="1"/>
  <c r="G411" i="1"/>
  <c r="H411" i="1"/>
  <c r="I411" i="1"/>
  <c r="J411" i="1"/>
  <c r="K411" i="1"/>
  <c r="M411" i="1"/>
  <c r="A4811" i="1"/>
  <c r="G4811" i="1"/>
  <c r="H4811" i="1"/>
  <c r="I4811" i="1"/>
  <c r="J4811" i="1"/>
  <c r="K4811" i="1"/>
  <c r="L4811" i="1"/>
  <c r="M4811" i="1"/>
  <c r="A3076" i="1"/>
  <c r="G3076" i="1"/>
  <c r="H3076" i="1"/>
  <c r="I3076" i="1"/>
  <c r="J3076" i="1"/>
  <c r="K3076" i="1"/>
  <c r="M3076" i="1"/>
  <c r="A3077" i="1"/>
  <c r="G3077" i="1"/>
  <c r="H3077" i="1"/>
  <c r="I3077" i="1"/>
  <c r="J3077" i="1"/>
  <c r="A2001" i="1"/>
  <c r="G2001" i="1"/>
  <c r="H2001" i="1"/>
  <c r="I2001" i="1"/>
  <c r="J2001" i="1"/>
  <c r="K2001" i="1"/>
  <c r="M2001" i="1"/>
  <c r="A412" i="1"/>
  <c r="G412" i="1"/>
  <c r="H412" i="1"/>
  <c r="I412" i="1"/>
  <c r="J412" i="1"/>
  <c r="K412" i="1"/>
  <c r="M412" i="1"/>
  <c r="A23" i="1"/>
  <c r="G23" i="1"/>
  <c r="H23" i="1"/>
  <c r="I23" i="1"/>
  <c r="J23" i="1"/>
  <c r="K23" i="1"/>
  <c r="M23" i="1"/>
  <c r="A413" i="1"/>
  <c r="G413" i="1"/>
  <c r="H413" i="1"/>
  <c r="I413" i="1"/>
  <c r="J413" i="1"/>
  <c r="K413" i="1"/>
  <c r="M413" i="1"/>
  <c r="A414" i="1"/>
  <c r="G414" i="1"/>
  <c r="H414" i="1"/>
  <c r="I414" i="1"/>
  <c r="J414" i="1"/>
  <c r="K414" i="1"/>
  <c r="M414" i="1"/>
  <c r="A415" i="1"/>
  <c r="G415" i="1"/>
  <c r="H415" i="1"/>
  <c r="I415" i="1"/>
  <c r="J415" i="1"/>
  <c r="K415" i="1"/>
  <c r="M415" i="1"/>
  <c r="A3078" i="1"/>
  <c r="G3078" i="1"/>
  <c r="H3078" i="1"/>
  <c r="I3078" i="1"/>
  <c r="J3078" i="1"/>
  <c r="A2002" i="1"/>
  <c r="G2002" i="1"/>
  <c r="H2002" i="1"/>
  <c r="I2002" i="1"/>
  <c r="J2002" i="1"/>
  <c r="A2003" i="1"/>
  <c r="G2003" i="1"/>
  <c r="H2003" i="1"/>
  <c r="I2003" i="1"/>
  <c r="J2003" i="1"/>
  <c r="K2003" i="1"/>
  <c r="M2003" i="1"/>
  <c r="A4599" i="1"/>
  <c r="G4599" i="1"/>
  <c r="H4599" i="1"/>
  <c r="I4599" i="1"/>
  <c r="J4599" i="1"/>
  <c r="A416" i="1"/>
  <c r="G416" i="1"/>
  <c r="H416" i="1"/>
  <c r="I416" i="1"/>
  <c r="J416" i="1"/>
  <c r="K416" i="1"/>
  <c r="M416" i="1"/>
  <c r="A2004" i="1"/>
  <c r="G2004" i="1"/>
  <c r="H2004" i="1"/>
  <c r="I2004" i="1"/>
  <c r="J2004" i="1"/>
  <c r="A4196" i="1"/>
  <c r="G4196" i="1"/>
  <c r="H4196" i="1"/>
  <c r="I4196" i="1"/>
  <c r="J4196" i="1"/>
  <c r="K4196" i="1"/>
  <c r="M4196" i="1"/>
  <c r="A2005" i="1"/>
  <c r="G2005" i="1"/>
  <c r="H2005" i="1"/>
  <c r="I2005" i="1"/>
  <c r="J2005" i="1"/>
  <c r="A2006" i="1"/>
  <c r="G2006" i="1"/>
  <c r="H2006" i="1"/>
  <c r="I2006" i="1"/>
  <c r="J2006" i="1"/>
  <c r="K2006" i="1"/>
  <c r="M2006" i="1"/>
  <c r="A2007" i="1"/>
  <c r="G2007" i="1"/>
  <c r="H2007" i="1"/>
  <c r="I2007" i="1"/>
  <c r="J2007" i="1"/>
  <c r="K2007" i="1"/>
  <c r="M2007" i="1"/>
  <c r="A2008" i="1"/>
  <c r="G2008" i="1"/>
  <c r="H2008" i="1"/>
  <c r="I2008" i="1"/>
  <c r="J2008" i="1"/>
  <c r="K2008" i="1"/>
  <c r="M2008" i="1"/>
  <c r="A417" i="1"/>
  <c r="G417" i="1"/>
  <c r="H417" i="1"/>
  <c r="I417" i="1"/>
  <c r="J417" i="1"/>
  <c r="M417" i="1"/>
  <c r="A418" i="1"/>
  <c r="G418" i="1"/>
  <c r="H418" i="1"/>
  <c r="I418" i="1"/>
  <c r="J418" i="1"/>
  <c r="K418" i="1"/>
  <c r="M418" i="1"/>
  <c r="A419" i="1"/>
  <c r="G419" i="1"/>
  <c r="H419" i="1"/>
  <c r="I419" i="1"/>
  <c r="J419" i="1"/>
  <c r="K419" i="1"/>
  <c r="M419" i="1"/>
  <c r="A2763" i="1"/>
  <c r="G2763" i="1"/>
  <c r="H2763" i="1"/>
  <c r="I2763" i="1"/>
  <c r="J2763" i="1"/>
  <c r="K2763" i="1"/>
  <c r="M2763" i="1"/>
  <c r="A2009" i="1"/>
  <c r="G2009" i="1"/>
  <c r="H2009" i="1"/>
  <c r="I2009" i="1"/>
  <c r="J2009" i="1"/>
  <c r="K2009" i="1"/>
  <c r="M2009" i="1"/>
  <c r="A420" i="1"/>
  <c r="G420" i="1"/>
  <c r="H420" i="1"/>
  <c r="I420" i="1"/>
  <c r="J420" i="1"/>
  <c r="K420" i="1"/>
  <c r="M420" i="1"/>
  <c r="A3079" i="1"/>
  <c r="G3079" i="1"/>
  <c r="H3079" i="1"/>
  <c r="I3079" i="1"/>
  <c r="J3079" i="1"/>
  <c r="K3079" i="1"/>
  <c r="M3079" i="1"/>
  <c r="A2010" i="1"/>
  <c r="G2010" i="1"/>
  <c r="H2010" i="1"/>
  <c r="I2010" i="1"/>
  <c r="J2010" i="1"/>
  <c r="K2010" i="1"/>
  <c r="M2010" i="1"/>
  <c r="A3080" i="1"/>
  <c r="G3080" i="1"/>
  <c r="H3080" i="1"/>
  <c r="I3080" i="1"/>
  <c r="J3080" i="1"/>
  <c r="K3080" i="1"/>
  <c r="M3080" i="1"/>
  <c r="A3081" i="1"/>
  <c r="G3081" i="1"/>
  <c r="H3081" i="1"/>
  <c r="I3081" i="1"/>
  <c r="J3081" i="1"/>
  <c r="K3081" i="1"/>
  <c r="M3081" i="1"/>
  <c r="A2011" i="1"/>
  <c r="G2011" i="1"/>
  <c r="H2011" i="1"/>
  <c r="I2011" i="1"/>
  <c r="J2011" i="1"/>
  <c r="K2011" i="1"/>
  <c r="M2011" i="1"/>
  <c r="A421" i="1"/>
  <c r="G421" i="1"/>
  <c r="H421" i="1"/>
  <c r="I421" i="1"/>
  <c r="J421" i="1"/>
  <c r="K421" i="1"/>
  <c r="M421" i="1"/>
  <c r="A4387" i="1"/>
  <c r="G4387" i="1"/>
  <c r="H4387" i="1"/>
  <c r="I4387" i="1"/>
  <c r="J4387" i="1"/>
  <c r="K4387" i="1"/>
  <c r="M4387" i="1"/>
  <c r="A4151" i="1"/>
  <c r="G4151" i="1"/>
  <c r="H4151" i="1"/>
  <c r="I4151" i="1"/>
  <c r="J4151" i="1"/>
  <c r="K4151" i="1"/>
  <c r="M4151" i="1"/>
  <c r="A4388" i="1"/>
  <c r="G4388" i="1"/>
  <c r="H4388" i="1"/>
  <c r="I4388" i="1"/>
  <c r="J4388" i="1"/>
  <c r="K4388" i="1"/>
  <c r="M4388" i="1"/>
  <c r="A4389" i="1"/>
  <c r="G4389" i="1"/>
  <c r="H4389" i="1"/>
  <c r="I4389" i="1"/>
  <c r="J4389" i="1"/>
  <c r="K4389" i="1"/>
  <c r="M4389" i="1"/>
  <c r="A2012" i="1"/>
  <c r="G2012" i="1"/>
  <c r="H2012" i="1"/>
  <c r="I2012" i="1"/>
  <c r="J2012" i="1"/>
  <c r="A2013" i="1"/>
  <c r="G2013" i="1"/>
  <c r="H2013" i="1"/>
  <c r="I2013" i="1"/>
  <c r="J2013" i="1"/>
  <c r="A422" i="1"/>
  <c r="G422" i="1"/>
  <c r="H422" i="1"/>
  <c r="I422" i="1"/>
  <c r="J422" i="1"/>
  <c r="K422" i="1"/>
  <c r="M422" i="1"/>
  <c r="A24" i="1"/>
  <c r="G24" i="1"/>
  <c r="H24" i="1"/>
  <c r="I24" i="1"/>
  <c r="J24" i="1"/>
  <c r="A423" i="1"/>
  <c r="G423" i="1"/>
  <c r="H423" i="1"/>
  <c r="I423" i="1"/>
  <c r="J423" i="1"/>
  <c r="K423" i="1"/>
  <c r="M423" i="1"/>
  <c r="A4390" i="1"/>
  <c r="G4390" i="1"/>
  <c r="H4390" i="1"/>
  <c r="I4390" i="1"/>
  <c r="J4390" i="1"/>
  <c r="K4390" i="1"/>
  <c r="M4390" i="1"/>
  <c r="A3082" i="1"/>
  <c r="G3082" i="1"/>
  <c r="H3082" i="1"/>
  <c r="I3082" i="1"/>
  <c r="J3082" i="1"/>
  <c r="A3083" i="1"/>
  <c r="G3083" i="1"/>
  <c r="H3083" i="1"/>
  <c r="I3083" i="1"/>
  <c r="J3083" i="1"/>
  <c r="K3083" i="1"/>
  <c r="M3083" i="1"/>
  <c r="A424" i="1"/>
  <c r="G424" i="1"/>
  <c r="H424" i="1"/>
  <c r="I424" i="1"/>
  <c r="J424" i="1"/>
  <c r="L424" i="1"/>
  <c r="M424" i="1"/>
  <c r="A3084" i="1"/>
  <c r="G3084" i="1"/>
  <c r="H3084" i="1"/>
  <c r="I3084" i="1"/>
  <c r="J3084" i="1"/>
  <c r="K3084" i="1"/>
  <c r="M3084" i="1"/>
  <c r="A2764" i="1"/>
  <c r="G2764" i="1"/>
  <c r="H2764" i="1"/>
  <c r="I2764" i="1"/>
  <c r="J2764" i="1"/>
  <c r="K2764" i="1"/>
  <c r="M2764" i="1"/>
  <c r="A425" i="1"/>
  <c r="G425" i="1"/>
  <c r="H425" i="1"/>
  <c r="I425" i="1"/>
  <c r="J425" i="1"/>
  <c r="K425" i="1"/>
  <c r="M425" i="1"/>
  <c r="A4152" i="1"/>
  <c r="G4152" i="1"/>
  <c r="H4152" i="1"/>
  <c r="I4152" i="1"/>
  <c r="J4152" i="1"/>
  <c r="K4152" i="1"/>
  <c r="M4152" i="1"/>
  <c r="A3085" i="1"/>
  <c r="G3085" i="1"/>
  <c r="H3085" i="1"/>
  <c r="I3085" i="1"/>
  <c r="J3085" i="1"/>
  <c r="K3085" i="1"/>
  <c r="M3085" i="1"/>
  <c r="A4655" i="1"/>
  <c r="G4655" i="1"/>
  <c r="H4655" i="1"/>
  <c r="I4655" i="1"/>
  <c r="J4655" i="1"/>
  <c r="M4655" i="1"/>
  <c r="A426" i="1"/>
  <c r="G426" i="1"/>
  <c r="H426" i="1"/>
  <c r="I426" i="1"/>
  <c r="J426" i="1"/>
  <c r="L426" i="1"/>
  <c r="M426" i="1"/>
  <c r="A3086" i="1"/>
  <c r="G3086" i="1"/>
  <c r="H3086" i="1"/>
  <c r="I3086" i="1"/>
  <c r="J3086" i="1"/>
  <c r="A427" i="1"/>
  <c r="G427" i="1"/>
  <c r="H427" i="1"/>
  <c r="I427" i="1"/>
  <c r="J427" i="1"/>
  <c r="K427" i="1"/>
  <c r="M427" i="1"/>
  <c r="A3087" i="1"/>
  <c r="G3087" i="1"/>
  <c r="H3087" i="1"/>
  <c r="I3087" i="1"/>
  <c r="J3087" i="1"/>
  <c r="A4391" i="1"/>
  <c r="G4391" i="1"/>
  <c r="H4391" i="1"/>
  <c r="I4391" i="1"/>
  <c r="J4391" i="1"/>
  <c r="K4391" i="1"/>
  <c r="M4391" i="1"/>
  <c r="A3088" i="1"/>
  <c r="G3088" i="1"/>
  <c r="H3088" i="1"/>
  <c r="I3088" i="1"/>
  <c r="J3088" i="1"/>
  <c r="K3088" i="1"/>
  <c r="M3088" i="1"/>
  <c r="A428" i="1"/>
  <c r="G428" i="1"/>
  <c r="H428" i="1"/>
  <c r="I428" i="1"/>
  <c r="J428" i="1"/>
  <c r="K428" i="1"/>
  <c r="M428" i="1"/>
  <c r="A4392" i="1"/>
  <c r="G4392" i="1"/>
  <c r="H4392" i="1"/>
  <c r="I4392" i="1"/>
  <c r="J4392" i="1"/>
  <c r="K4392" i="1"/>
  <c r="M4392" i="1"/>
  <c r="A4656" i="1"/>
  <c r="G4656" i="1"/>
  <c r="H4656" i="1"/>
  <c r="I4656" i="1"/>
  <c r="J4656" i="1"/>
  <c r="M4656" i="1"/>
  <c r="A429" i="1"/>
  <c r="G429" i="1"/>
  <c r="H429" i="1"/>
  <c r="I429" i="1"/>
  <c r="J429" i="1"/>
  <c r="K429" i="1"/>
  <c r="M429" i="1"/>
  <c r="A4153" i="1"/>
  <c r="G4153" i="1"/>
  <c r="H4153" i="1"/>
  <c r="I4153" i="1"/>
  <c r="J4153" i="1"/>
  <c r="K4153" i="1"/>
  <c r="M4153" i="1"/>
  <c r="A430" i="1"/>
  <c r="G430" i="1"/>
  <c r="H430" i="1"/>
  <c r="I430" i="1"/>
  <c r="J430" i="1"/>
  <c r="M430" i="1"/>
  <c r="A431" i="1"/>
  <c r="G431" i="1"/>
  <c r="H431" i="1"/>
  <c r="I431" i="1"/>
  <c r="J431" i="1"/>
  <c r="K431" i="1"/>
  <c r="M431" i="1"/>
  <c r="A4393" i="1"/>
  <c r="G4393" i="1"/>
  <c r="H4393" i="1"/>
  <c r="I4393" i="1"/>
  <c r="J4393" i="1"/>
  <c r="K4393" i="1"/>
  <c r="M4393" i="1"/>
  <c r="A2014" i="1"/>
  <c r="G2014" i="1"/>
  <c r="H2014" i="1"/>
  <c r="I2014" i="1"/>
  <c r="J2014" i="1"/>
  <c r="A432" i="1"/>
  <c r="G432" i="1"/>
  <c r="H432" i="1"/>
  <c r="I432" i="1"/>
  <c r="J432" i="1"/>
  <c r="L432" i="1"/>
  <c r="M432" i="1"/>
  <c r="A433" i="1"/>
  <c r="G433" i="1"/>
  <c r="H433" i="1"/>
  <c r="I433" i="1"/>
  <c r="J433" i="1"/>
  <c r="K433" i="1"/>
  <c r="M433" i="1"/>
  <c r="A434" i="1"/>
  <c r="G434" i="1"/>
  <c r="H434" i="1"/>
  <c r="I434" i="1"/>
  <c r="J434" i="1"/>
  <c r="K434" i="1"/>
  <c r="M434" i="1"/>
  <c r="A435" i="1"/>
  <c r="G435" i="1"/>
  <c r="H435" i="1"/>
  <c r="I435" i="1"/>
  <c r="J435" i="1"/>
  <c r="K435" i="1"/>
  <c r="M435" i="1"/>
  <c r="A436" i="1"/>
  <c r="G436" i="1"/>
  <c r="H436" i="1"/>
  <c r="I436" i="1"/>
  <c r="J436" i="1"/>
  <c r="K436" i="1"/>
  <c r="M436" i="1"/>
  <c r="A3089" i="1"/>
  <c r="G3089" i="1"/>
  <c r="H3089" i="1"/>
  <c r="I3089" i="1"/>
  <c r="J3089" i="1"/>
  <c r="K3089" i="1"/>
  <c r="M3089" i="1"/>
  <c r="A3090" i="1"/>
  <c r="G3090" i="1"/>
  <c r="H3090" i="1"/>
  <c r="I3090" i="1"/>
  <c r="J3090" i="1"/>
  <c r="A437" i="1"/>
  <c r="G437" i="1"/>
  <c r="H437" i="1"/>
  <c r="I437" i="1"/>
  <c r="J437" i="1"/>
  <c r="K437" i="1"/>
  <c r="M437" i="1"/>
  <c r="A3091" i="1"/>
  <c r="G3091" i="1"/>
  <c r="H3091" i="1"/>
  <c r="I3091" i="1"/>
  <c r="J3091" i="1"/>
  <c r="K3091" i="1"/>
  <c r="M3091" i="1"/>
  <c r="A3092" i="1"/>
  <c r="G3092" i="1"/>
  <c r="H3092" i="1"/>
  <c r="I3092" i="1"/>
  <c r="J3092" i="1"/>
  <c r="A3093" i="1"/>
  <c r="G3093" i="1"/>
  <c r="H3093" i="1"/>
  <c r="I3093" i="1"/>
  <c r="J3093" i="1"/>
  <c r="A3094" i="1"/>
  <c r="G3094" i="1"/>
  <c r="H3094" i="1"/>
  <c r="I3094" i="1"/>
  <c r="J3094" i="1"/>
  <c r="K3094" i="1"/>
  <c r="M3094" i="1"/>
  <c r="A438" i="1"/>
  <c r="G438" i="1"/>
  <c r="H438" i="1"/>
  <c r="I438" i="1"/>
  <c r="J438" i="1"/>
  <c r="K438" i="1"/>
  <c r="M438" i="1"/>
  <c r="A3095" i="1"/>
  <c r="G3095" i="1"/>
  <c r="H3095" i="1"/>
  <c r="I3095" i="1"/>
  <c r="J3095" i="1"/>
  <c r="A3096" i="1"/>
  <c r="G3096" i="1"/>
  <c r="H3096" i="1"/>
  <c r="I3096" i="1"/>
  <c r="J3096" i="1"/>
  <c r="K3096" i="1"/>
  <c r="M3096" i="1"/>
  <c r="A2015" i="1"/>
  <c r="G2015" i="1"/>
  <c r="H2015" i="1"/>
  <c r="I2015" i="1"/>
  <c r="J2015" i="1"/>
  <c r="K2015" i="1"/>
  <c r="M2015" i="1"/>
  <c r="A439" i="1"/>
  <c r="G439" i="1"/>
  <c r="H439" i="1"/>
  <c r="I439" i="1"/>
  <c r="J439" i="1"/>
  <c r="K439" i="1"/>
  <c r="M439" i="1"/>
  <c r="A4657" i="1"/>
  <c r="G4657" i="1"/>
  <c r="H4657" i="1"/>
  <c r="I4657" i="1"/>
  <c r="J4657" i="1"/>
  <c r="M4657" i="1"/>
  <c r="A2016" i="1"/>
  <c r="G2016" i="1"/>
  <c r="H2016" i="1"/>
  <c r="I2016" i="1"/>
  <c r="J2016" i="1"/>
  <c r="K2016" i="1"/>
  <c r="M2016" i="1"/>
  <c r="A2017" i="1"/>
  <c r="G2017" i="1"/>
  <c r="H2017" i="1"/>
  <c r="I2017" i="1"/>
  <c r="J2017" i="1"/>
  <c r="K2017" i="1"/>
  <c r="M2017" i="1"/>
  <c r="A4394" i="1"/>
  <c r="G4394" i="1"/>
  <c r="H4394" i="1"/>
  <c r="I4394" i="1"/>
  <c r="J4394" i="1"/>
  <c r="K4394" i="1"/>
  <c r="M4394" i="1"/>
  <c r="A440" i="1"/>
  <c r="G440" i="1"/>
  <c r="H440" i="1"/>
  <c r="I440" i="1"/>
  <c r="J440" i="1"/>
  <c r="K440" i="1"/>
  <c r="M440" i="1"/>
  <c r="A3097" i="1"/>
  <c r="G3097" i="1"/>
  <c r="H3097" i="1"/>
  <c r="I3097" i="1"/>
  <c r="J3097" i="1"/>
  <c r="K3097" i="1"/>
  <c r="M3097" i="1"/>
  <c r="A4197" i="1"/>
  <c r="G4197" i="1"/>
  <c r="H4197" i="1"/>
  <c r="I4197" i="1"/>
  <c r="J4197" i="1"/>
  <c r="K4197" i="1"/>
  <c r="M4197" i="1"/>
  <c r="A3098" i="1"/>
  <c r="G3098" i="1"/>
  <c r="H3098" i="1"/>
  <c r="I3098" i="1"/>
  <c r="J3098" i="1"/>
  <c r="A441" i="1"/>
  <c r="G441" i="1"/>
  <c r="H441" i="1"/>
  <c r="I441" i="1"/>
  <c r="J441" i="1"/>
  <c r="K441" i="1"/>
  <c r="M441" i="1"/>
  <c r="A442" i="1"/>
  <c r="G442" i="1"/>
  <c r="H442" i="1"/>
  <c r="I442" i="1"/>
  <c r="J442" i="1"/>
  <c r="K442" i="1"/>
  <c r="M442" i="1"/>
  <c r="A443" i="1"/>
  <c r="G443" i="1"/>
  <c r="H443" i="1"/>
  <c r="I443" i="1"/>
  <c r="J443" i="1"/>
  <c r="K443" i="1"/>
  <c r="M443" i="1"/>
  <c r="A444" i="1"/>
  <c r="G444" i="1"/>
  <c r="H444" i="1"/>
  <c r="I444" i="1"/>
  <c r="J444" i="1"/>
  <c r="K444" i="1"/>
  <c r="M444" i="1"/>
  <c r="A3099" i="1"/>
  <c r="G3099" i="1"/>
  <c r="H3099" i="1"/>
  <c r="I3099" i="1"/>
  <c r="J3099" i="1"/>
  <c r="K3099" i="1"/>
  <c r="M3099" i="1"/>
  <c r="A445" i="1"/>
  <c r="G445" i="1"/>
  <c r="H445" i="1"/>
  <c r="I445" i="1"/>
  <c r="J445" i="1"/>
  <c r="K445" i="1"/>
  <c r="M445" i="1"/>
  <c r="A3100" i="1"/>
  <c r="G3100" i="1"/>
  <c r="H3100" i="1"/>
  <c r="I3100" i="1"/>
  <c r="J3100" i="1"/>
  <c r="K3100" i="1"/>
  <c r="M3100" i="1"/>
  <c r="A2018" i="1"/>
  <c r="G2018" i="1"/>
  <c r="H2018" i="1"/>
  <c r="I2018" i="1"/>
  <c r="J2018" i="1"/>
  <c r="A25" i="1"/>
  <c r="G25" i="1"/>
  <c r="H25" i="1"/>
  <c r="I25" i="1"/>
  <c r="J25" i="1"/>
  <c r="A446" i="1"/>
  <c r="G446" i="1"/>
  <c r="H446" i="1"/>
  <c r="I446" i="1"/>
  <c r="J446" i="1"/>
  <c r="K446" i="1"/>
  <c r="M446" i="1"/>
  <c r="A4198" i="1"/>
  <c r="G4198" i="1"/>
  <c r="H4198" i="1"/>
  <c r="I4198" i="1"/>
  <c r="J4198" i="1"/>
  <c r="K4198" i="1"/>
  <c r="M4198" i="1"/>
  <c r="A3101" i="1"/>
  <c r="G3101" i="1"/>
  <c r="H3101" i="1"/>
  <c r="I3101" i="1"/>
  <c r="J3101" i="1"/>
  <c r="A447" i="1"/>
  <c r="G447" i="1"/>
  <c r="H447" i="1"/>
  <c r="I447" i="1"/>
  <c r="J447" i="1"/>
  <c r="K447" i="1"/>
  <c r="M447" i="1"/>
  <c r="A2019" i="1"/>
  <c r="G2019" i="1"/>
  <c r="H2019" i="1"/>
  <c r="I2019" i="1"/>
  <c r="J2019" i="1"/>
  <c r="K2019" i="1"/>
  <c r="M2019" i="1"/>
  <c r="A448" i="1"/>
  <c r="G448" i="1"/>
  <c r="H448" i="1"/>
  <c r="I448" i="1"/>
  <c r="J448" i="1"/>
  <c r="K448" i="1"/>
  <c r="M448" i="1"/>
  <c r="A449" i="1"/>
  <c r="G449" i="1"/>
  <c r="H449" i="1"/>
  <c r="I449" i="1"/>
  <c r="J449" i="1"/>
  <c r="K449" i="1"/>
  <c r="M449" i="1"/>
  <c r="A4658" i="1"/>
  <c r="G4658" i="1"/>
  <c r="H4658" i="1"/>
  <c r="I4658" i="1"/>
  <c r="J4658" i="1"/>
  <c r="M4658" i="1"/>
  <c r="A2020" i="1"/>
  <c r="G2020" i="1"/>
  <c r="H2020" i="1"/>
  <c r="I2020" i="1"/>
  <c r="J2020" i="1"/>
  <c r="K2020" i="1"/>
  <c r="M2020" i="1"/>
  <c r="A3102" i="1"/>
  <c r="G3102" i="1"/>
  <c r="H3102" i="1"/>
  <c r="I3102" i="1"/>
  <c r="J3102" i="1"/>
  <c r="K3102" i="1"/>
  <c r="M3102" i="1"/>
  <c r="A2021" i="1"/>
  <c r="G2021" i="1"/>
  <c r="H2021" i="1"/>
  <c r="I2021" i="1"/>
  <c r="J2021" i="1"/>
  <c r="K2021" i="1"/>
  <c r="M2021" i="1"/>
  <c r="A450" i="1"/>
  <c r="G450" i="1"/>
  <c r="H450" i="1"/>
  <c r="I450" i="1"/>
  <c r="J450" i="1"/>
  <c r="K450" i="1"/>
  <c r="M450" i="1"/>
  <c r="A2022" i="1"/>
  <c r="G2022" i="1"/>
  <c r="H2022" i="1"/>
  <c r="I2022" i="1"/>
  <c r="J2022" i="1"/>
  <c r="K2022" i="1"/>
  <c r="M2022" i="1"/>
  <c r="A451" i="1"/>
  <c r="G451" i="1"/>
  <c r="H451" i="1"/>
  <c r="I451" i="1"/>
  <c r="J451" i="1"/>
  <c r="M451" i="1"/>
  <c r="A452" i="1"/>
  <c r="G452" i="1"/>
  <c r="H452" i="1"/>
  <c r="I452" i="1"/>
  <c r="J452" i="1"/>
  <c r="K452" i="1"/>
  <c r="M452" i="1"/>
  <c r="A2023" i="1"/>
  <c r="G2023" i="1"/>
  <c r="H2023" i="1"/>
  <c r="I2023" i="1"/>
  <c r="J2023" i="1"/>
  <c r="K2023" i="1"/>
  <c r="M2023" i="1"/>
  <c r="A2024" i="1"/>
  <c r="G2024" i="1"/>
  <c r="H2024" i="1"/>
  <c r="I2024" i="1"/>
  <c r="J2024" i="1"/>
  <c r="K2024" i="1"/>
  <c r="M2024" i="1"/>
  <c r="A453" i="1"/>
  <c r="G453" i="1"/>
  <c r="H453" i="1"/>
  <c r="I453" i="1"/>
  <c r="J453" i="1"/>
  <c r="K453" i="1"/>
  <c r="M453" i="1"/>
  <c r="A454" i="1"/>
  <c r="G454" i="1"/>
  <c r="H454" i="1"/>
  <c r="I454" i="1"/>
  <c r="J454" i="1"/>
  <c r="K454" i="1"/>
  <c r="M454" i="1"/>
  <c r="A455" i="1"/>
  <c r="G455" i="1"/>
  <c r="H455" i="1"/>
  <c r="I455" i="1"/>
  <c r="J455" i="1"/>
  <c r="K455" i="1"/>
  <c r="M455" i="1"/>
  <c r="A4319" i="1"/>
  <c r="G4319" i="1"/>
  <c r="H4319" i="1"/>
  <c r="I4319" i="1"/>
  <c r="J4319" i="1"/>
  <c r="A2765" i="1"/>
  <c r="G2765" i="1"/>
  <c r="H2765" i="1"/>
  <c r="I2765" i="1"/>
  <c r="J2765" i="1"/>
  <c r="K2765" i="1"/>
  <c r="M2765" i="1"/>
  <c r="A456" i="1"/>
  <c r="G456" i="1"/>
  <c r="H456" i="1"/>
  <c r="I456" i="1"/>
  <c r="J456" i="1"/>
  <c r="M456" i="1"/>
  <c r="A26" i="1"/>
  <c r="G26" i="1"/>
  <c r="H26" i="1"/>
  <c r="I26" i="1"/>
  <c r="J26" i="1"/>
  <c r="K26" i="1"/>
  <c r="M26" i="1"/>
  <c r="A457" i="1"/>
  <c r="G457" i="1"/>
  <c r="H457" i="1"/>
  <c r="I457" i="1"/>
  <c r="J457" i="1"/>
  <c r="K457" i="1"/>
  <c r="M457" i="1"/>
  <c r="A458" i="1"/>
  <c r="G458" i="1"/>
  <c r="H458" i="1"/>
  <c r="I458" i="1"/>
  <c r="J458" i="1"/>
  <c r="K458" i="1"/>
  <c r="M458" i="1"/>
  <c r="A3103" i="1"/>
  <c r="G3103" i="1"/>
  <c r="H3103" i="1"/>
  <c r="I3103" i="1"/>
  <c r="J3103" i="1"/>
  <c r="A459" i="1"/>
  <c r="G459" i="1"/>
  <c r="H459" i="1"/>
  <c r="I459" i="1"/>
  <c r="J459" i="1"/>
  <c r="K459" i="1"/>
  <c r="M459" i="1"/>
  <c r="A3104" i="1"/>
  <c r="G3104" i="1"/>
  <c r="H3104" i="1"/>
  <c r="I3104" i="1"/>
  <c r="J3104" i="1"/>
  <c r="K3104" i="1"/>
  <c r="M3104" i="1"/>
  <c r="A460" i="1"/>
  <c r="G460" i="1"/>
  <c r="H460" i="1"/>
  <c r="I460" i="1"/>
  <c r="J460" i="1"/>
  <c r="K460" i="1"/>
  <c r="M460" i="1"/>
  <c r="A4395" i="1"/>
  <c r="G4395" i="1"/>
  <c r="H4395" i="1"/>
  <c r="I4395" i="1"/>
  <c r="J4395" i="1"/>
  <c r="K4395" i="1"/>
  <c r="M4395" i="1"/>
  <c r="A4396" i="1"/>
  <c r="G4396" i="1"/>
  <c r="H4396" i="1"/>
  <c r="I4396" i="1"/>
  <c r="J4396" i="1"/>
  <c r="K4396" i="1"/>
  <c r="M4396" i="1"/>
  <c r="A4154" i="1"/>
  <c r="G4154" i="1"/>
  <c r="H4154" i="1"/>
  <c r="I4154" i="1"/>
  <c r="J4154" i="1"/>
  <c r="K4154" i="1"/>
  <c r="M4154" i="1"/>
  <c r="A2025" i="1"/>
  <c r="G2025" i="1"/>
  <c r="H2025" i="1"/>
  <c r="I2025" i="1"/>
  <c r="J2025" i="1"/>
  <c r="A3105" i="1"/>
  <c r="G3105" i="1"/>
  <c r="H3105" i="1"/>
  <c r="I3105" i="1"/>
  <c r="J3105" i="1"/>
  <c r="K3105" i="1"/>
  <c r="M3105" i="1"/>
  <c r="A3106" i="1"/>
  <c r="G3106" i="1"/>
  <c r="H3106" i="1"/>
  <c r="I3106" i="1"/>
  <c r="J3106" i="1"/>
  <c r="K3106" i="1"/>
  <c r="M3106" i="1"/>
  <c r="A3107" i="1"/>
  <c r="G3107" i="1"/>
  <c r="H3107" i="1"/>
  <c r="I3107" i="1"/>
  <c r="J3107" i="1"/>
  <c r="K3107" i="1"/>
  <c r="M3107" i="1"/>
  <c r="A461" i="1"/>
  <c r="G461" i="1"/>
  <c r="H461" i="1"/>
  <c r="I461" i="1"/>
  <c r="J461" i="1"/>
  <c r="K461" i="1"/>
  <c r="M461" i="1"/>
  <c r="A2026" i="1"/>
  <c r="G2026" i="1"/>
  <c r="H2026" i="1"/>
  <c r="I2026" i="1"/>
  <c r="J2026" i="1"/>
  <c r="K2026" i="1"/>
  <c r="M2026" i="1"/>
  <c r="A462" i="1"/>
  <c r="G462" i="1"/>
  <c r="H462" i="1"/>
  <c r="I462" i="1"/>
  <c r="J462" i="1"/>
  <c r="K462" i="1"/>
  <c r="M462" i="1"/>
  <c r="A2766" i="1"/>
  <c r="G2766" i="1"/>
  <c r="H2766" i="1"/>
  <c r="I2766" i="1"/>
  <c r="J2766" i="1"/>
  <c r="K2766" i="1"/>
  <c r="M2766" i="1"/>
  <c r="A2027" i="1"/>
  <c r="G2027" i="1"/>
  <c r="H2027" i="1"/>
  <c r="I2027" i="1"/>
  <c r="J2027" i="1"/>
  <c r="A4659" i="1"/>
  <c r="G4659" i="1"/>
  <c r="H4659" i="1"/>
  <c r="I4659" i="1"/>
  <c r="J4659" i="1"/>
  <c r="M4659" i="1"/>
  <c r="A3108" i="1"/>
  <c r="G3108" i="1"/>
  <c r="H3108" i="1"/>
  <c r="I3108" i="1"/>
  <c r="J3108" i="1"/>
  <c r="A463" i="1"/>
  <c r="G463" i="1"/>
  <c r="H463" i="1"/>
  <c r="I463" i="1"/>
  <c r="J463" i="1"/>
  <c r="M463" i="1"/>
  <c r="A464" i="1"/>
  <c r="G464" i="1"/>
  <c r="H464" i="1"/>
  <c r="I464" i="1"/>
  <c r="J464" i="1"/>
  <c r="K464" i="1"/>
  <c r="M464" i="1"/>
  <c r="A465" i="1"/>
  <c r="G465" i="1"/>
  <c r="H465" i="1"/>
  <c r="I465" i="1"/>
  <c r="J465" i="1"/>
  <c r="K465" i="1"/>
  <c r="M465" i="1"/>
  <c r="A3109" i="1"/>
  <c r="G3109" i="1"/>
  <c r="H3109" i="1"/>
  <c r="I3109" i="1"/>
  <c r="J3109" i="1"/>
  <c r="A3110" i="1"/>
  <c r="G3110" i="1"/>
  <c r="H3110" i="1"/>
  <c r="I3110" i="1"/>
  <c r="J3110" i="1"/>
  <c r="A466" i="1"/>
  <c r="G466" i="1"/>
  <c r="H466" i="1"/>
  <c r="I466" i="1"/>
  <c r="J466" i="1"/>
  <c r="K466" i="1"/>
  <c r="M466" i="1"/>
  <c r="A2028" i="1"/>
  <c r="G2028" i="1"/>
  <c r="H2028" i="1"/>
  <c r="I2028" i="1"/>
  <c r="J2028" i="1"/>
  <c r="A467" i="1"/>
  <c r="G467" i="1"/>
  <c r="H467" i="1"/>
  <c r="I467" i="1"/>
  <c r="J467" i="1"/>
  <c r="K467" i="1"/>
  <c r="M467" i="1"/>
  <c r="A468" i="1"/>
  <c r="G468" i="1"/>
  <c r="H468" i="1"/>
  <c r="I468" i="1"/>
  <c r="J468" i="1"/>
  <c r="K468" i="1"/>
  <c r="M468" i="1"/>
  <c r="A3111" i="1"/>
  <c r="G3111" i="1"/>
  <c r="H3111" i="1"/>
  <c r="I3111" i="1"/>
  <c r="J3111" i="1"/>
  <c r="K3111" i="1"/>
  <c r="M3111" i="1"/>
  <c r="A4782" i="1"/>
  <c r="G4782" i="1"/>
  <c r="H4782" i="1"/>
  <c r="I4782" i="1"/>
  <c r="J4782" i="1"/>
  <c r="K4782" i="1"/>
  <c r="M4782" i="1"/>
  <c r="A2029" i="1"/>
  <c r="G2029" i="1"/>
  <c r="H2029" i="1"/>
  <c r="I2029" i="1"/>
  <c r="J2029" i="1"/>
  <c r="K2029" i="1"/>
  <c r="M2029" i="1"/>
  <c r="A469" i="1"/>
  <c r="G469" i="1"/>
  <c r="H469" i="1"/>
  <c r="I469" i="1"/>
  <c r="J469" i="1"/>
  <c r="K469" i="1"/>
  <c r="M469" i="1"/>
  <c r="A470" i="1"/>
  <c r="G470" i="1"/>
  <c r="H470" i="1"/>
  <c r="I470" i="1"/>
  <c r="J470" i="1"/>
  <c r="K470" i="1"/>
  <c r="M470" i="1"/>
  <c r="A3112" i="1"/>
  <c r="G3112" i="1"/>
  <c r="H3112" i="1"/>
  <c r="I3112" i="1"/>
  <c r="J3112" i="1"/>
  <c r="A3113" i="1"/>
  <c r="G3113" i="1"/>
  <c r="H3113" i="1"/>
  <c r="I3113" i="1"/>
  <c r="J3113" i="1"/>
  <c r="K3113" i="1"/>
  <c r="M3113" i="1"/>
  <c r="A471" i="1"/>
  <c r="G471" i="1"/>
  <c r="H471" i="1"/>
  <c r="I471" i="1"/>
  <c r="J471" i="1"/>
  <c r="K471" i="1"/>
  <c r="M471" i="1"/>
  <c r="A27" i="1"/>
  <c r="G27" i="1"/>
  <c r="H27" i="1"/>
  <c r="I27" i="1"/>
  <c r="J27" i="1"/>
  <c r="A472" i="1"/>
  <c r="G472" i="1"/>
  <c r="H472" i="1"/>
  <c r="I472" i="1"/>
  <c r="J472" i="1"/>
  <c r="K472" i="1"/>
  <c r="M472" i="1"/>
  <c r="A473" i="1"/>
  <c r="G473" i="1"/>
  <c r="H473" i="1"/>
  <c r="I473" i="1"/>
  <c r="J473" i="1"/>
  <c r="K473" i="1"/>
  <c r="M473" i="1"/>
  <c r="A474" i="1"/>
  <c r="G474" i="1"/>
  <c r="H474" i="1"/>
  <c r="I474" i="1"/>
  <c r="J474" i="1"/>
  <c r="M474" i="1"/>
  <c r="A475" i="1"/>
  <c r="G475" i="1"/>
  <c r="H475" i="1"/>
  <c r="I475" i="1"/>
  <c r="J475" i="1"/>
  <c r="K475" i="1"/>
  <c r="M475" i="1"/>
  <c r="A476" i="1"/>
  <c r="G476" i="1"/>
  <c r="H476" i="1"/>
  <c r="I476" i="1"/>
  <c r="J476" i="1"/>
  <c r="K476" i="1"/>
  <c r="M476" i="1"/>
  <c r="A3114" i="1"/>
  <c r="G3114" i="1"/>
  <c r="H3114" i="1"/>
  <c r="I3114" i="1"/>
  <c r="J3114" i="1"/>
  <c r="A28" i="1"/>
  <c r="G28" i="1"/>
  <c r="H28" i="1"/>
  <c r="I28" i="1"/>
  <c r="J28" i="1"/>
  <c r="A4397" i="1"/>
  <c r="G4397" i="1"/>
  <c r="H4397" i="1"/>
  <c r="I4397" i="1"/>
  <c r="J4397" i="1"/>
  <c r="K4397" i="1"/>
  <c r="M4397" i="1"/>
  <c r="A477" i="1"/>
  <c r="G477" i="1"/>
  <c r="H477" i="1"/>
  <c r="I477" i="1"/>
  <c r="J477" i="1"/>
  <c r="K477" i="1"/>
  <c r="M477" i="1"/>
  <c r="A478" i="1"/>
  <c r="G478" i="1"/>
  <c r="H478" i="1"/>
  <c r="I478" i="1"/>
  <c r="J478" i="1"/>
  <c r="K478" i="1"/>
  <c r="M478" i="1"/>
  <c r="A2030" i="1"/>
  <c r="G2030" i="1"/>
  <c r="H2030" i="1"/>
  <c r="I2030" i="1"/>
  <c r="J2030" i="1"/>
  <c r="A2031" i="1"/>
  <c r="G2031" i="1"/>
  <c r="H2031" i="1"/>
  <c r="I2031" i="1"/>
  <c r="J2031" i="1"/>
  <c r="K2031" i="1"/>
  <c r="M2031" i="1"/>
  <c r="A4660" i="1"/>
  <c r="G4660" i="1"/>
  <c r="H4660" i="1"/>
  <c r="I4660" i="1"/>
  <c r="J4660" i="1"/>
  <c r="M4660" i="1"/>
  <c r="A4320" i="1"/>
  <c r="G4320" i="1"/>
  <c r="H4320" i="1"/>
  <c r="I4320" i="1"/>
  <c r="J4320" i="1"/>
  <c r="A479" i="1"/>
  <c r="G479" i="1"/>
  <c r="H479" i="1"/>
  <c r="I479" i="1"/>
  <c r="J479" i="1"/>
  <c r="K479" i="1"/>
  <c r="M479" i="1"/>
  <c r="A480" i="1"/>
  <c r="G480" i="1"/>
  <c r="H480" i="1"/>
  <c r="I480" i="1"/>
  <c r="J480" i="1"/>
  <c r="K480" i="1"/>
  <c r="M480" i="1"/>
  <c r="A481" i="1"/>
  <c r="G481" i="1"/>
  <c r="H481" i="1"/>
  <c r="I481" i="1"/>
  <c r="J481" i="1"/>
  <c r="K481" i="1"/>
  <c r="M481" i="1"/>
  <c r="A2032" i="1"/>
  <c r="G2032" i="1"/>
  <c r="H2032" i="1"/>
  <c r="I2032" i="1"/>
  <c r="J2032" i="1"/>
  <c r="K2032" i="1"/>
  <c r="L2032" i="1"/>
  <c r="M2032" i="1"/>
  <c r="A482" i="1"/>
  <c r="G482" i="1"/>
  <c r="H482" i="1"/>
  <c r="I482" i="1"/>
  <c r="J482" i="1"/>
  <c r="K482" i="1"/>
  <c r="M482" i="1"/>
  <c r="A3115" i="1"/>
  <c r="G3115" i="1"/>
  <c r="H3115" i="1"/>
  <c r="I3115" i="1"/>
  <c r="J3115" i="1"/>
  <c r="K3115" i="1"/>
  <c r="M3115" i="1"/>
  <c r="A2033" i="1"/>
  <c r="G2033" i="1"/>
  <c r="H2033" i="1"/>
  <c r="I2033" i="1"/>
  <c r="J2033" i="1"/>
  <c r="K2033" i="1"/>
  <c r="M2033" i="1"/>
  <c r="A3116" i="1"/>
  <c r="G3116" i="1"/>
  <c r="H3116" i="1"/>
  <c r="I3116" i="1"/>
  <c r="J3116" i="1"/>
  <c r="K3116" i="1"/>
  <c r="M3116" i="1"/>
  <c r="A3117" i="1"/>
  <c r="G3117" i="1"/>
  <c r="H3117" i="1"/>
  <c r="I3117" i="1"/>
  <c r="J3117" i="1"/>
  <c r="A3118" i="1"/>
  <c r="G3118" i="1"/>
  <c r="H3118" i="1"/>
  <c r="I3118" i="1"/>
  <c r="J3118" i="1"/>
  <c r="A483" i="1"/>
  <c r="G483" i="1"/>
  <c r="H483" i="1"/>
  <c r="I483" i="1"/>
  <c r="J483" i="1"/>
  <c r="K483" i="1"/>
  <c r="M483" i="1"/>
  <c r="A484" i="1"/>
  <c r="G484" i="1"/>
  <c r="H484" i="1"/>
  <c r="I484" i="1"/>
  <c r="J484" i="1"/>
  <c r="K484" i="1"/>
  <c r="M484" i="1"/>
  <c r="A485" i="1"/>
  <c r="G485" i="1"/>
  <c r="H485" i="1"/>
  <c r="I485" i="1"/>
  <c r="J485" i="1"/>
  <c r="K485" i="1"/>
  <c r="M485" i="1"/>
  <c r="A486" i="1"/>
  <c r="G486" i="1"/>
  <c r="H486" i="1"/>
  <c r="I486" i="1"/>
  <c r="J486" i="1"/>
  <c r="M486" i="1"/>
  <c r="A2034" i="1"/>
  <c r="G2034" i="1"/>
  <c r="H2034" i="1"/>
  <c r="I2034" i="1"/>
  <c r="J2034" i="1"/>
  <c r="M2034" i="1"/>
  <c r="A4398" i="1"/>
  <c r="G4398" i="1"/>
  <c r="H4398" i="1"/>
  <c r="I4398" i="1"/>
  <c r="J4398" i="1"/>
  <c r="K4398" i="1"/>
  <c r="M4398" i="1"/>
  <c r="A487" i="1"/>
  <c r="G487" i="1"/>
  <c r="H487" i="1"/>
  <c r="I487" i="1"/>
  <c r="J487" i="1"/>
  <c r="K487" i="1"/>
  <c r="M487" i="1"/>
  <c r="A2035" i="1"/>
  <c r="G2035" i="1"/>
  <c r="H2035" i="1"/>
  <c r="I2035" i="1"/>
  <c r="J2035" i="1"/>
  <c r="A488" i="1"/>
  <c r="G488" i="1"/>
  <c r="H488" i="1"/>
  <c r="I488" i="1"/>
  <c r="J488" i="1"/>
  <c r="M488" i="1"/>
  <c r="A489" i="1"/>
  <c r="G489" i="1"/>
  <c r="H489" i="1"/>
  <c r="I489" i="1"/>
  <c r="J489" i="1"/>
  <c r="K489" i="1"/>
  <c r="M489" i="1"/>
  <c r="A3119" i="1"/>
  <c r="G3119" i="1"/>
  <c r="H3119" i="1"/>
  <c r="I3119" i="1"/>
  <c r="J3119" i="1"/>
  <c r="K3119" i="1"/>
  <c r="M3119" i="1"/>
  <c r="A3120" i="1"/>
  <c r="G3120" i="1"/>
  <c r="H3120" i="1"/>
  <c r="I3120" i="1"/>
  <c r="J3120" i="1"/>
  <c r="K3120" i="1"/>
  <c r="M3120" i="1"/>
  <c r="A490" i="1"/>
  <c r="G490" i="1"/>
  <c r="H490" i="1"/>
  <c r="I490" i="1"/>
  <c r="J490" i="1"/>
  <c r="M490" i="1"/>
  <c r="A491" i="1"/>
  <c r="G491" i="1"/>
  <c r="H491" i="1"/>
  <c r="I491" i="1"/>
  <c r="J491" i="1"/>
  <c r="M491" i="1"/>
  <c r="A4199" i="1"/>
  <c r="G4199" i="1"/>
  <c r="H4199" i="1"/>
  <c r="I4199" i="1"/>
  <c r="J4199" i="1"/>
  <c r="A492" i="1"/>
  <c r="G492" i="1"/>
  <c r="H492" i="1"/>
  <c r="I492" i="1"/>
  <c r="J492" i="1"/>
  <c r="K492" i="1"/>
  <c r="M492" i="1"/>
  <c r="A3121" i="1"/>
  <c r="G3121" i="1"/>
  <c r="H3121" i="1"/>
  <c r="I3121" i="1"/>
  <c r="J3121" i="1"/>
  <c r="K3121" i="1"/>
  <c r="M3121" i="1"/>
  <c r="A493" i="1"/>
  <c r="G493" i="1"/>
  <c r="H493" i="1"/>
  <c r="I493" i="1"/>
  <c r="J493" i="1"/>
  <c r="M493" i="1"/>
  <c r="A3122" i="1"/>
  <c r="G3122" i="1"/>
  <c r="H3122" i="1"/>
  <c r="I3122" i="1"/>
  <c r="J3122" i="1"/>
  <c r="A3123" i="1"/>
  <c r="G3123" i="1"/>
  <c r="H3123" i="1"/>
  <c r="I3123" i="1"/>
  <c r="J3123" i="1"/>
  <c r="A494" i="1"/>
  <c r="G494" i="1"/>
  <c r="H494" i="1"/>
  <c r="I494" i="1"/>
  <c r="J494" i="1"/>
  <c r="K494" i="1"/>
  <c r="M494" i="1"/>
  <c r="A495" i="1"/>
  <c r="G495" i="1"/>
  <c r="H495" i="1"/>
  <c r="I495" i="1"/>
  <c r="J495" i="1"/>
  <c r="K495" i="1"/>
  <c r="M495" i="1"/>
  <c r="A496" i="1"/>
  <c r="G496" i="1"/>
  <c r="H496" i="1"/>
  <c r="I496" i="1"/>
  <c r="J496" i="1"/>
  <c r="K496" i="1"/>
  <c r="M496" i="1"/>
  <c r="A2036" i="1"/>
  <c r="G2036" i="1"/>
  <c r="H2036" i="1"/>
  <c r="I2036" i="1"/>
  <c r="J2036" i="1"/>
  <c r="K2036" i="1"/>
  <c r="M2036" i="1"/>
  <c r="A497" i="1"/>
  <c r="G497" i="1"/>
  <c r="H497" i="1"/>
  <c r="I497" i="1"/>
  <c r="J497" i="1"/>
  <c r="K497" i="1"/>
  <c r="M497" i="1"/>
  <c r="A498" i="1"/>
  <c r="G498" i="1"/>
  <c r="H498" i="1"/>
  <c r="I498" i="1"/>
  <c r="J498" i="1"/>
  <c r="K498" i="1"/>
  <c r="M498" i="1"/>
  <c r="A3124" i="1"/>
  <c r="G3124" i="1"/>
  <c r="H3124" i="1"/>
  <c r="I3124" i="1"/>
  <c r="J3124" i="1"/>
  <c r="A499" i="1"/>
  <c r="G499" i="1"/>
  <c r="H499" i="1"/>
  <c r="I499" i="1"/>
  <c r="J499" i="1"/>
  <c r="K499" i="1"/>
  <c r="M499" i="1"/>
  <c r="A2767" i="1"/>
  <c r="G2767" i="1"/>
  <c r="H2767" i="1"/>
  <c r="I2767" i="1"/>
  <c r="J2767" i="1"/>
  <c r="K2767" i="1"/>
  <c r="M2767" i="1"/>
  <c r="A3125" i="1"/>
  <c r="G3125" i="1"/>
  <c r="H3125" i="1"/>
  <c r="I3125" i="1"/>
  <c r="J3125" i="1"/>
  <c r="A3126" i="1"/>
  <c r="G3126" i="1"/>
  <c r="H3126" i="1"/>
  <c r="I3126" i="1"/>
  <c r="J3126" i="1"/>
  <c r="K3126" i="1"/>
  <c r="M3126" i="1"/>
  <c r="A500" i="1"/>
  <c r="G500" i="1"/>
  <c r="H500" i="1"/>
  <c r="I500" i="1"/>
  <c r="J500" i="1"/>
  <c r="M500" i="1"/>
  <c r="A501" i="1"/>
  <c r="G501" i="1"/>
  <c r="H501" i="1"/>
  <c r="I501" i="1"/>
  <c r="J501" i="1"/>
  <c r="K501" i="1"/>
  <c r="M501" i="1"/>
  <c r="A3127" i="1"/>
  <c r="G3127" i="1"/>
  <c r="H3127" i="1"/>
  <c r="I3127" i="1"/>
  <c r="J3127" i="1"/>
  <c r="K3127" i="1"/>
  <c r="M3127" i="1"/>
  <c r="A502" i="1"/>
  <c r="G502" i="1"/>
  <c r="H502" i="1"/>
  <c r="I502" i="1"/>
  <c r="J502" i="1"/>
  <c r="K502" i="1"/>
  <c r="M502" i="1"/>
  <c r="A2768" i="1"/>
  <c r="G2768" i="1"/>
  <c r="H2768" i="1"/>
  <c r="I2768" i="1"/>
  <c r="J2768" i="1"/>
  <c r="K2768" i="1"/>
  <c r="M2768" i="1"/>
  <c r="A2846" i="1"/>
  <c r="G2846" i="1"/>
  <c r="H2846" i="1"/>
  <c r="I2846" i="1"/>
  <c r="J2846" i="1"/>
  <c r="K2846" i="1"/>
  <c r="M2846" i="1"/>
  <c r="A2037" i="1"/>
  <c r="G2037" i="1"/>
  <c r="H2037" i="1"/>
  <c r="I2037" i="1"/>
  <c r="J2037" i="1"/>
  <c r="A503" i="1"/>
  <c r="G503" i="1"/>
  <c r="H503" i="1"/>
  <c r="I503" i="1"/>
  <c r="J503" i="1"/>
  <c r="M503" i="1"/>
  <c r="A4399" i="1"/>
  <c r="G4399" i="1"/>
  <c r="H4399" i="1"/>
  <c r="I4399" i="1"/>
  <c r="J4399" i="1"/>
  <c r="K4399" i="1"/>
  <c r="M4399" i="1"/>
  <c r="A504" i="1"/>
  <c r="G504" i="1"/>
  <c r="H504" i="1"/>
  <c r="I504" i="1"/>
  <c r="J504" i="1"/>
  <c r="M504" i="1"/>
  <c r="A505" i="1"/>
  <c r="G505" i="1"/>
  <c r="H505" i="1"/>
  <c r="I505" i="1"/>
  <c r="J505" i="1"/>
  <c r="L505" i="1"/>
  <c r="M505" i="1"/>
  <c r="A3128" i="1"/>
  <c r="G3128" i="1"/>
  <c r="H3128" i="1"/>
  <c r="I3128" i="1"/>
  <c r="J3128" i="1"/>
  <c r="K3128" i="1"/>
  <c r="M3128" i="1"/>
  <c r="A506" i="1"/>
  <c r="G506" i="1"/>
  <c r="H506" i="1"/>
  <c r="I506" i="1"/>
  <c r="J506" i="1"/>
  <c r="M506" i="1"/>
  <c r="A3129" i="1"/>
  <c r="G3129" i="1"/>
  <c r="H3129" i="1"/>
  <c r="I3129" i="1"/>
  <c r="J3129" i="1"/>
  <c r="K3129" i="1"/>
  <c r="M3129" i="1"/>
  <c r="A3130" i="1"/>
  <c r="G3130" i="1"/>
  <c r="H3130" i="1"/>
  <c r="I3130" i="1"/>
  <c r="J3130" i="1"/>
  <c r="K3130" i="1"/>
  <c r="M3130" i="1"/>
  <c r="A507" i="1"/>
  <c r="G507" i="1"/>
  <c r="H507" i="1"/>
  <c r="I507" i="1"/>
  <c r="J507" i="1"/>
  <c r="K507" i="1"/>
  <c r="M507" i="1"/>
  <c r="A508" i="1"/>
  <c r="G508" i="1"/>
  <c r="H508" i="1"/>
  <c r="I508" i="1"/>
  <c r="J508" i="1"/>
  <c r="M508" i="1"/>
  <c r="A4400" i="1"/>
  <c r="G4400" i="1"/>
  <c r="H4400" i="1"/>
  <c r="I4400" i="1"/>
  <c r="J4400" i="1"/>
  <c r="K4400" i="1"/>
  <c r="M4400" i="1"/>
  <c r="A2038" i="1"/>
  <c r="G2038" i="1"/>
  <c r="H2038" i="1"/>
  <c r="I2038" i="1"/>
  <c r="J2038" i="1"/>
  <c r="K2038" i="1"/>
  <c r="M2038" i="1"/>
  <c r="A3131" i="1"/>
  <c r="G3131" i="1"/>
  <c r="H3131" i="1"/>
  <c r="I3131" i="1"/>
  <c r="J3131" i="1"/>
  <c r="A2039" i="1"/>
  <c r="G2039" i="1"/>
  <c r="H2039" i="1"/>
  <c r="I2039" i="1"/>
  <c r="J2039" i="1"/>
  <c r="K2039" i="1"/>
  <c r="M2039" i="1"/>
  <c r="A509" i="1"/>
  <c r="G509" i="1"/>
  <c r="H509" i="1"/>
  <c r="I509" i="1"/>
  <c r="J509" i="1"/>
  <c r="K509" i="1"/>
  <c r="M509" i="1"/>
  <c r="A510" i="1"/>
  <c r="G510" i="1"/>
  <c r="H510" i="1"/>
  <c r="I510" i="1"/>
  <c r="J510" i="1"/>
  <c r="K510" i="1"/>
  <c r="M510" i="1"/>
  <c r="A2040" i="1"/>
  <c r="G2040" i="1"/>
  <c r="H2040" i="1"/>
  <c r="I2040" i="1"/>
  <c r="J2040" i="1"/>
  <c r="K2040" i="1"/>
  <c r="M2040" i="1"/>
  <c r="A511" i="1"/>
  <c r="G511" i="1"/>
  <c r="H511" i="1"/>
  <c r="I511" i="1"/>
  <c r="J511" i="1"/>
  <c r="K511" i="1"/>
  <c r="M511" i="1"/>
  <c r="A512" i="1"/>
  <c r="G512" i="1"/>
  <c r="H512" i="1"/>
  <c r="I512" i="1"/>
  <c r="J512" i="1"/>
  <c r="L512" i="1"/>
  <c r="M512" i="1"/>
  <c r="A4401" i="1"/>
  <c r="G4401" i="1"/>
  <c r="H4401" i="1"/>
  <c r="I4401" i="1"/>
  <c r="J4401" i="1"/>
  <c r="K4401" i="1"/>
  <c r="M4401" i="1"/>
  <c r="A2847" i="1"/>
  <c r="G2847" i="1"/>
  <c r="H2847" i="1"/>
  <c r="I2847" i="1"/>
  <c r="J2847" i="1"/>
  <c r="K2847" i="1"/>
  <c r="M2847" i="1"/>
  <c r="A3132" i="1"/>
  <c r="G3132" i="1"/>
  <c r="H3132" i="1"/>
  <c r="I3132" i="1"/>
  <c r="J3132" i="1"/>
  <c r="K3132" i="1"/>
  <c r="M3132" i="1"/>
  <c r="A513" i="1"/>
  <c r="G513" i="1"/>
  <c r="H513" i="1"/>
  <c r="I513" i="1"/>
  <c r="J513" i="1"/>
  <c r="K513" i="1"/>
  <c r="M513" i="1"/>
  <c r="A3133" i="1"/>
  <c r="G3133" i="1"/>
  <c r="H3133" i="1"/>
  <c r="I3133" i="1"/>
  <c r="J3133" i="1"/>
  <c r="A2041" i="1"/>
  <c r="G2041" i="1"/>
  <c r="H2041" i="1"/>
  <c r="I2041" i="1"/>
  <c r="J2041" i="1"/>
  <c r="K2041" i="1"/>
  <c r="M2041" i="1"/>
  <c r="A2042" i="1"/>
  <c r="G2042" i="1"/>
  <c r="H2042" i="1"/>
  <c r="I2042" i="1"/>
  <c r="J2042" i="1"/>
  <c r="M2042" i="1"/>
  <c r="A514" i="1"/>
  <c r="G514" i="1"/>
  <c r="H514" i="1"/>
  <c r="I514" i="1"/>
  <c r="J514" i="1"/>
  <c r="K514" i="1"/>
  <c r="M514" i="1"/>
  <c r="A3134" i="1"/>
  <c r="G3134" i="1"/>
  <c r="H3134" i="1"/>
  <c r="I3134" i="1"/>
  <c r="J3134" i="1"/>
  <c r="K3134" i="1"/>
  <c r="M3134" i="1"/>
  <c r="A3135" i="1"/>
  <c r="G3135" i="1"/>
  <c r="H3135" i="1"/>
  <c r="I3135" i="1"/>
  <c r="J3135" i="1"/>
  <c r="A29" i="1"/>
  <c r="G29" i="1"/>
  <c r="H29" i="1"/>
  <c r="I29" i="1"/>
  <c r="J29" i="1"/>
  <c r="A3136" i="1"/>
  <c r="G3136" i="1"/>
  <c r="H3136" i="1"/>
  <c r="I3136" i="1"/>
  <c r="J3136" i="1"/>
  <c r="A3137" i="1"/>
  <c r="G3137" i="1"/>
  <c r="H3137" i="1"/>
  <c r="I3137" i="1"/>
  <c r="J3137" i="1"/>
  <c r="K3137" i="1"/>
  <c r="M3137" i="1"/>
  <c r="A3138" i="1"/>
  <c r="G3138" i="1"/>
  <c r="H3138" i="1"/>
  <c r="I3138" i="1"/>
  <c r="J3138" i="1"/>
  <c r="K3138" i="1"/>
  <c r="M3138" i="1"/>
  <c r="A3139" i="1"/>
  <c r="G3139" i="1"/>
  <c r="H3139" i="1"/>
  <c r="I3139" i="1"/>
  <c r="J3139" i="1"/>
  <c r="K3139" i="1"/>
  <c r="M3139" i="1"/>
  <c r="A2848" i="1"/>
  <c r="G2848" i="1"/>
  <c r="H2848" i="1"/>
  <c r="I2848" i="1"/>
  <c r="J2848" i="1"/>
  <c r="K2848" i="1"/>
  <c r="M2848" i="1"/>
  <c r="A515" i="1"/>
  <c r="G515" i="1"/>
  <c r="H515" i="1"/>
  <c r="I515" i="1"/>
  <c r="J515" i="1"/>
  <c r="M515" i="1"/>
  <c r="A30" i="1"/>
  <c r="G30" i="1"/>
  <c r="H30" i="1"/>
  <c r="I30" i="1"/>
  <c r="J30" i="1"/>
  <c r="A31" i="1"/>
  <c r="G31" i="1"/>
  <c r="H31" i="1"/>
  <c r="I31" i="1"/>
  <c r="J31" i="1"/>
  <c r="K31" i="1"/>
  <c r="M31" i="1"/>
  <c r="A4321" i="1"/>
  <c r="G4321" i="1"/>
  <c r="H4321" i="1"/>
  <c r="I4321" i="1"/>
  <c r="J4321" i="1"/>
  <c r="K4321" i="1"/>
  <c r="M4321" i="1"/>
  <c r="A3140" i="1"/>
  <c r="G3140" i="1"/>
  <c r="H3140" i="1"/>
  <c r="I3140" i="1"/>
  <c r="J3140" i="1"/>
  <c r="K3140" i="1"/>
  <c r="M3140" i="1"/>
  <c r="A4402" i="1"/>
  <c r="G4402" i="1"/>
  <c r="H4402" i="1"/>
  <c r="I4402" i="1"/>
  <c r="J4402" i="1"/>
  <c r="K4402" i="1"/>
  <c r="M4402" i="1"/>
  <c r="A3141" i="1"/>
  <c r="G3141" i="1"/>
  <c r="H3141" i="1"/>
  <c r="I3141" i="1"/>
  <c r="J3141" i="1"/>
  <c r="K3141" i="1"/>
  <c r="M3141" i="1"/>
  <c r="A516" i="1"/>
  <c r="G516" i="1"/>
  <c r="H516" i="1"/>
  <c r="I516" i="1"/>
  <c r="J516" i="1"/>
  <c r="K516" i="1"/>
  <c r="M516" i="1"/>
  <c r="A517" i="1"/>
  <c r="G517" i="1"/>
  <c r="H517" i="1"/>
  <c r="I517" i="1"/>
  <c r="J517" i="1"/>
  <c r="K517" i="1"/>
  <c r="M517" i="1"/>
  <c r="A518" i="1"/>
  <c r="G518" i="1"/>
  <c r="H518" i="1"/>
  <c r="I518" i="1"/>
  <c r="J518" i="1"/>
  <c r="K518" i="1"/>
  <c r="M518" i="1"/>
  <c r="A4783" i="1"/>
  <c r="G4783" i="1"/>
  <c r="H4783" i="1"/>
  <c r="I4783" i="1"/>
  <c r="J4783" i="1"/>
  <c r="K4783" i="1"/>
  <c r="M4783" i="1"/>
  <c r="A4661" i="1"/>
  <c r="G4661" i="1"/>
  <c r="H4661" i="1"/>
  <c r="I4661" i="1"/>
  <c r="J4661" i="1"/>
  <c r="M4661" i="1"/>
  <c r="A3142" i="1"/>
  <c r="G3142" i="1"/>
  <c r="H3142" i="1"/>
  <c r="I3142" i="1"/>
  <c r="J3142" i="1"/>
  <c r="A3143" i="1"/>
  <c r="G3143" i="1"/>
  <c r="H3143" i="1"/>
  <c r="I3143" i="1"/>
  <c r="J3143" i="1"/>
  <c r="A4403" i="1"/>
  <c r="G4403" i="1"/>
  <c r="H4403" i="1"/>
  <c r="I4403" i="1"/>
  <c r="J4403" i="1"/>
  <c r="K4403" i="1"/>
  <c r="M4403" i="1"/>
  <c r="A519" i="1"/>
  <c r="G519" i="1"/>
  <c r="H519" i="1"/>
  <c r="I519" i="1"/>
  <c r="J519" i="1"/>
  <c r="K519" i="1"/>
  <c r="M519" i="1"/>
  <c r="A520" i="1"/>
  <c r="G520" i="1"/>
  <c r="H520" i="1"/>
  <c r="I520" i="1"/>
  <c r="J520" i="1"/>
  <c r="K520" i="1"/>
  <c r="M520" i="1"/>
  <c r="A4200" i="1"/>
  <c r="G4200" i="1"/>
  <c r="H4200" i="1"/>
  <c r="I4200" i="1"/>
  <c r="J4200" i="1"/>
  <c r="A3144" i="1"/>
  <c r="G3144" i="1"/>
  <c r="H3144" i="1"/>
  <c r="I3144" i="1"/>
  <c r="J3144" i="1"/>
  <c r="K3144" i="1"/>
  <c r="M3144" i="1"/>
  <c r="A521" i="1"/>
  <c r="G521" i="1"/>
  <c r="H521" i="1"/>
  <c r="I521" i="1"/>
  <c r="J521" i="1"/>
  <c r="K521" i="1"/>
  <c r="M521" i="1"/>
  <c r="A2849" i="1"/>
  <c r="G2849" i="1"/>
  <c r="H2849" i="1"/>
  <c r="I2849" i="1"/>
  <c r="J2849" i="1"/>
  <c r="K2849" i="1"/>
  <c r="M2849" i="1"/>
  <c r="A522" i="1"/>
  <c r="G522" i="1"/>
  <c r="H522" i="1"/>
  <c r="I522" i="1"/>
  <c r="J522" i="1"/>
  <c r="K522" i="1"/>
  <c r="M522" i="1"/>
  <c r="A2043" i="1"/>
  <c r="G2043" i="1"/>
  <c r="H2043" i="1"/>
  <c r="I2043" i="1"/>
  <c r="J2043" i="1"/>
  <c r="A3145" i="1"/>
  <c r="G3145" i="1"/>
  <c r="H3145" i="1"/>
  <c r="I3145" i="1"/>
  <c r="J3145" i="1"/>
  <c r="A523" i="1"/>
  <c r="G523" i="1"/>
  <c r="H523" i="1"/>
  <c r="I523" i="1"/>
  <c r="J523" i="1"/>
  <c r="K523" i="1"/>
  <c r="M523" i="1"/>
  <c r="A2044" i="1"/>
  <c r="G2044" i="1"/>
  <c r="H2044" i="1"/>
  <c r="I2044" i="1"/>
  <c r="J2044" i="1"/>
  <c r="K2044" i="1"/>
  <c r="M2044" i="1"/>
  <c r="A4201" i="1"/>
  <c r="G4201" i="1"/>
  <c r="H4201" i="1"/>
  <c r="I4201" i="1"/>
  <c r="J4201" i="1"/>
  <c r="K4201" i="1"/>
  <c r="M4201" i="1"/>
  <c r="A2769" i="1"/>
  <c r="G2769" i="1"/>
  <c r="H2769" i="1"/>
  <c r="I2769" i="1"/>
  <c r="J2769" i="1"/>
  <c r="K2769" i="1"/>
  <c r="M2769" i="1"/>
  <c r="A2045" i="1"/>
  <c r="G2045" i="1"/>
  <c r="H2045" i="1"/>
  <c r="I2045" i="1"/>
  <c r="J2045" i="1"/>
  <c r="K2045" i="1"/>
  <c r="M2045" i="1"/>
  <c r="A3146" i="1"/>
  <c r="G3146" i="1"/>
  <c r="H3146" i="1"/>
  <c r="I3146" i="1"/>
  <c r="J3146" i="1"/>
  <c r="A524" i="1"/>
  <c r="G524" i="1"/>
  <c r="H524" i="1"/>
  <c r="I524" i="1"/>
  <c r="J524" i="1"/>
  <c r="K524" i="1"/>
  <c r="M524" i="1"/>
  <c r="A3147" i="1"/>
  <c r="G3147" i="1"/>
  <c r="H3147" i="1"/>
  <c r="I3147" i="1"/>
  <c r="J3147" i="1"/>
  <c r="A4202" i="1"/>
  <c r="G4202" i="1"/>
  <c r="H4202" i="1"/>
  <c r="I4202" i="1"/>
  <c r="J4202" i="1"/>
  <c r="K4202" i="1"/>
  <c r="M4202" i="1"/>
  <c r="A2046" i="1"/>
  <c r="G2046" i="1"/>
  <c r="H2046" i="1"/>
  <c r="I2046" i="1"/>
  <c r="J2046" i="1"/>
  <c r="A32" i="1"/>
  <c r="G32" i="1"/>
  <c r="H32" i="1"/>
  <c r="I32" i="1"/>
  <c r="J32" i="1"/>
  <c r="K32" i="1"/>
  <c r="M32" i="1"/>
  <c r="A3148" i="1"/>
  <c r="G3148" i="1"/>
  <c r="H3148" i="1"/>
  <c r="I3148" i="1"/>
  <c r="J3148" i="1"/>
  <c r="A2047" i="1"/>
  <c r="G2047" i="1"/>
  <c r="H2047" i="1"/>
  <c r="I2047" i="1"/>
  <c r="J2047" i="1"/>
  <c r="K2047" i="1"/>
  <c r="M2047" i="1"/>
  <c r="A525" i="1"/>
  <c r="G525" i="1"/>
  <c r="H525" i="1"/>
  <c r="I525" i="1"/>
  <c r="J525" i="1"/>
  <c r="K525" i="1"/>
  <c r="M525" i="1"/>
  <c r="A3149" i="1"/>
  <c r="G3149" i="1"/>
  <c r="H3149" i="1"/>
  <c r="I3149" i="1"/>
  <c r="J3149" i="1"/>
  <c r="A526" i="1"/>
  <c r="G526" i="1"/>
  <c r="H526" i="1"/>
  <c r="I526" i="1"/>
  <c r="J526" i="1"/>
  <c r="K526" i="1"/>
  <c r="M526" i="1"/>
  <c r="A2048" i="1"/>
  <c r="G2048" i="1"/>
  <c r="H2048" i="1"/>
  <c r="I2048" i="1"/>
  <c r="J2048" i="1"/>
  <c r="A3150" i="1"/>
  <c r="G3150" i="1"/>
  <c r="H3150" i="1"/>
  <c r="I3150" i="1"/>
  <c r="J3150" i="1"/>
  <c r="K3150" i="1"/>
  <c r="M3150" i="1"/>
  <c r="A33" i="1"/>
  <c r="G33" i="1"/>
  <c r="H33" i="1"/>
  <c r="I33" i="1"/>
  <c r="J33" i="1"/>
  <c r="K33" i="1"/>
  <c r="M33" i="1"/>
  <c r="A527" i="1"/>
  <c r="G527" i="1"/>
  <c r="H527" i="1"/>
  <c r="I527" i="1"/>
  <c r="J527" i="1"/>
  <c r="K527" i="1"/>
  <c r="M527" i="1"/>
  <c r="A3151" i="1"/>
  <c r="G3151" i="1"/>
  <c r="H3151" i="1"/>
  <c r="I3151" i="1"/>
  <c r="J3151" i="1"/>
  <c r="K3151" i="1"/>
  <c r="M3151" i="1"/>
  <c r="A2049" i="1"/>
  <c r="G2049" i="1"/>
  <c r="H2049" i="1"/>
  <c r="I2049" i="1"/>
  <c r="J2049" i="1"/>
  <c r="K2049" i="1"/>
  <c r="M2049" i="1"/>
  <c r="A2850" i="1"/>
  <c r="G2850" i="1"/>
  <c r="H2850" i="1"/>
  <c r="I2850" i="1"/>
  <c r="J2850" i="1"/>
  <c r="K2850" i="1"/>
  <c r="M2850" i="1"/>
  <c r="A2050" i="1"/>
  <c r="G2050" i="1"/>
  <c r="H2050" i="1"/>
  <c r="I2050" i="1"/>
  <c r="J2050" i="1"/>
  <c r="A2051" i="1"/>
  <c r="G2051" i="1"/>
  <c r="H2051" i="1"/>
  <c r="I2051" i="1"/>
  <c r="J2051" i="1"/>
  <c r="K2051" i="1"/>
  <c r="M2051" i="1"/>
  <c r="A2052" i="1"/>
  <c r="G2052" i="1"/>
  <c r="H2052" i="1"/>
  <c r="I2052" i="1"/>
  <c r="J2052" i="1"/>
  <c r="A528" i="1"/>
  <c r="G528" i="1"/>
  <c r="H528" i="1"/>
  <c r="I528" i="1"/>
  <c r="J528" i="1"/>
  <c r="K528" i="1"/>
  <c r="M528" i="1"/>
  <c r="A4404" i="1"/>
  <c r="G4404" i="1"/>
  <c r="H4404" i="1"/>
  <c r="I4404" i="1"/>
  <c r="J4404" i="1"/>
  <c r="K4404" i="1"/>
  <c r="M4404" i="1"/>
  <c r="A4405" i="1"/>
  <c r="G4405" i="1"/>
  <c r="H4405" i="1"/>
  <c r="I4405" i="1"/>
  <c r="J4405" i="1"/>
  <c r="K4405" i="1"/>
  <c r="M4405" i="1"/>
  <c r="A2053" i="1"/>
  <c r="G2053" i="1"/>
  <c r="H2053" i="1"/>
  <c r="I2053" i="1"/>
  <c r="J2053" i="1"/>
  <c r="K2053" i="1"/>
  <c r="L2053" i="1"/>
  <c r="M2053" i="1"/>
  <c r="A529" i="1"/>
  <c r="G529" i="1"/>
  <c r="H529" i="1"/>
  <c r="I529" i="1"/>
  <c r="J529" i="1"/>
  <c r="K529" i="1"/>
  <c r="M529" i="1"/>
  <c r="A3152" i="1"/>
  <c r="G3152" i="1"/>
  <c r="H3152" i="1"/>
  <c r="I3152" i="1"/>
  <c r="J3152" i="1"/>
  <c r="K3152" i="1"/>
  <c r="M3152" i="1"/>
  <c r="A3153" i="1"/>
  <c r="G3153" i="1"/>
  <c r="H3153" i="1"/>
  <c r="I3153" i="1"/>
  <c r="J3153" i="1"/>
  <c r="K3153" i="1"/>
  <c r="M3153" i="1"/>
  <c r="A530" i="1"/>
  <c r="G530" i="1"/>
  <c r="H530" i="1"/>
  <c r="I530" i="1"/>
  <c r="J530" i="1"/>
  <c r="K530" i="1"/>
  <c r="M530" i="1"/>
  <c r="A531" i="1"/>
  <c r="G531" i="1"/>
  <c r="H531" i="1"/>
  <c r="I531" i="1"/>
  <c r="J531" i="1"/>
  <c r="K531" i="1"/>
  <c r="M531" i="1"/>
  <c r="A3154" i="1"/>
  <c r="G3154" i="1"/>
  <c r="H3154" i="1"/>
  <c r="I3154" i="1"/>
  <c r="J3154" i="1"/>
  <c r="A532" i="1"/>
  <c r="G532" i="1"/>
  <c r="H532" i="1"/>
  <c r="I532" i="1"/>
  <c r="J532" i="1"/>
  <c r="K532" i="1"/>
  <c r="M532" i="1"/>
  <c r="A533" i="1"/>
  <c r="G533" i="1"/>
  <c r="H533" i="1"/>
  <c r="I533" i="1"/>
  <c r="J533" i="1"/>
  <c r="K533" i="1"/>
  <c r="M533" i="1"/>
  <c r="A534" i="1"/>
  <c r="G534" i="1"/>
  <c r="H534" i="1"/>
  <c r="I534" i="1"/>
  <c r="J534" i="1"/>
  <c r="L534" i="1"/>
  <c r="M534" i="1"/>
  <c r="A3155" i="1"/>
  <c r="G3155" i="1"/>
  <c r="H3155" i="1"/>
  <c r="I3155" i="1"/>
  <c r="J3155" i="1"/>
  <c r="A535" i="1"/>
  <c r="G535" i="1"/>
  <c r="H535" i="1"/>
  <c r="I535" i="1"/>
  <c r="J535" i="1"/>
  <c r="K535" i="1"/>
  <c r="M535" i="1"/>
  <c r="A2054" i="1"/>
  <c r="G2054" i="1"/>
  <c r="H2054" i="1"/>
  <c r="I2054" i="1"/>
  <c r="J2054" i="1"/>
  <c r="K2054" i="1"/>
  <c r="M2054" i="1"/>
  <c r="A536" i="1"/>
  <c r="G536" i="1"/>
  <c r="H536" i="1"/>
  <c r="I536" i="1"/>
  <c r="J536" i="1"/>
  <c r="K536" i="1"/>
  <c r="M536" i="1"/>
  <c r="A537" i="1"/>
  <c r="G537" i="1"/>
  <c r="H537" i="1"/>
  <c r="I537" i="1"/>
  <c r="J537" i="1"/>
  <c r="K537" i="1"/>
  <c r="M537" i="1"/>
  <c r="A3156" i="1"/>
  <c r="G3156" i="1"/>
  <c r="H3156" i="1"/>
  <c r="I3156" i="1"/>
  <c r="J3156" i="1"/>
  <c r="A3157" i="1"/>
  <c r="G3157" i="1"/>
  <c r="H3157" i="1"/>
  <c r="I3157" i="1"/>
  <c r="J3157" i="1"/>
  <c r="K3157" i="1"/>
  <c r="M3157" i="1"/>
  <c r="A2770" i="1"/>
  <c r="G2770" i="1"/>
  <c r="H2770" i="1"/>
  <c r="I2770" i="1"/>
  <c r="J2770" i="1"/>
  <c r="K2770" i="1"/>
  <c r="M2770" i="1"/>
  <c r="A4322" i="1"/>
  <c r="G4322" i="1"/>
  <c r="H4322" i="1"/>
  <c r="I4322" i="1"/>
  <c r="J4322" i="1"/>
  <c r="A3158" i="1"/>
  <c r="G3158" i="1"/>
  <c r="H3158" i="1"/>
  <c r="I3158" i="1"/>
  <c r="J3158" i="1"/>
  <c r="K3158" i="1"/>
  <c r="M3158" i="1"/>
  <c r="A2851" i="1"/>
  <c r="G2851" i="1"/>
  <c r="H2851" i="1"/>
  <c r="I2851" i="1"/>
  <c r="J2851" i="1"/>
  <c r="K2851" i="1"/>
  <c r="M2851" i="1"/>
  <c r="A3159" i="1"/>
  <c r="G3159" i="1"/>
  <c r="H3159" i="1"/>
  <c r="I3159" i="1"/>
  <c r="J3159" i="1"/>
  <c r="A538" i="1"/>
  <c r="G538" i="1"/>
  <c r="H538" i="1"/>
  <c r="I538" i="1"/>
  <c r="J538" i="1"/>
  <c r="M538" i="1"/>
  <c r="A2771" i="1"/>
  <c r="G2771" i="1"/>
  <c r="H2771" i="1"/>
  <c r="I2771" i="1"/>
  <c r="J2771" i="1"/>
  <c r="K2771" i="1"/>
  <c r="M2771" i="1"/>
  <c r="A34" i="1"/>
  <c r="G34" i="1"/>
  <c r="H34" i="1"/>
  <c r="I34" i="1"/>
  <c r="J34" i="1"/>
  <c r="K34" i="1"/>
  <c r="M34" i="1"/>
  <c r="A539" i="1"/>
  <c r="G539" i="1"/>
  <c r="H539" i="1"/>
  <c r="I539" i="1"/>
  <c r="J539" i="1"/>
  <c r="K539" i="1"/>
  <c r="M539" i="1"/>
  <c r="A540" i="1"/>
  <c r="G540" i="1"/>
  <c r="H540" i="1"/>
  <c r="I540" i="1"/>
  <c r="J540" i="1"/>
  <c r="L540" i="1"/>
  <c r="M540" i="1"/>
  <c r="A541" i="1"/>
  <c r="G541" i="1"/>
  <c r="H541" i="1"/>
  <c r="I541" i="1"/>
  <c r="J541" i="1"/>
  <c r="K541" i="1"/>
  <c r="M541" i="1"/>
  <c r="A4406" i="1"/>
  <c r="G4406" i="1"/>
  <c r="H4406" i="1"/>
  <c r="I4406" i="1"/>
  <c r="J4406" i="1"/>
  <c r="K4406" i="1"/>
  <c r="M4406" i="1"/>
  <c r="A4407" i="1"/>
  <c r="G4407" i="1"/>
  <c r="H4407" i="1"/>
  <c r="I4407" i="1"/>
  <c r="J4407" i="1"/>
  <c r="K4407" i="1"/>
  <c r="M4407" i="1"/>
  <c r="A3160" i="1"/>
  <c r="G3160" i="1"/>
  <c r="H3160" i="1"/>
  <c r="I3160" i="1"/>
  <c r="J3160" i="1"/>
  <c r="K3160" i="1"/>
  <c r="M3160" i="1"/>
  <c r="A542" i="1"/>
  <c r="G542" i="1"/>
  <c r="H542" i="1"/>
  <c r="I542" i="1"/>
  <c r="J542" i="1"/>
  <c r="M542" i="1"/>
  <c r="A3161" i="1"/>
  <c r="G3161" i="1"/>
  <c r="H3161" i="1"/>
  <c r="I3161" i="1"/>
  <c r="J3161" i="1"/>
  <c r="A543" i="1"/>
  <c r="G543" i="1"/>
  <c r="H543" i="1"/>
  <c r="I543" i="1"/>
  <c r="J543" i="1"/>
  <c r="K543" i="1"/>
  <c r="L543" i="1"/>
  <c r="M543" i="1"/>
  <c r="A544" i="1"/>
  <c r="G544" i="1"/>
  <c r="H544" i="1"/>
  <c r="I544" i="1"/>
  <c r="J544" i="1"/>
  <c r="M544" i="1"/>
  <c r="A545" i="1"/>
  <c r="G545" i="1"/>
  <c r="H545" i="1"/>
  <c r="I545" i="1"/>
  <c r="J545" i="1"/>
  <c r="K545" i="1"/>
  <c r="M545" i="1"/>
  <c r="A35" i="1"/>
  <c r="G35" i="1"/>
  <c r="H35" i="1"/>
  <c r="I35" i="1"/>
  <c r="J35" i="1"/>
  <c r="K35" i="1"/>
  <c r="M35" i="1"/>
  <c r="A2055" i="1"/>
  <c r="G2055" i="1"/>
  <c r="H2055" i="1"/>
  <c r="I2055" i="1"/>
  <c r="J2055" i="1"/>
  <c r="A3162" i="1"/>
  <c r="G3162" i="1"/>
  <c r="H3162" i="1"/>
  <c r="I3162" i="1"/>
  <c r="J3162" i="1"/>
  <c r="K3162" i="1"/>
  <c r="M3162" i="1"/>
  <c r="A546" i="1"/>
  <c r="G546" i="1"/>
  <c r="H546" i="1"/>
  <c r="I546" i="1"/>
  <c r="J546" i="1"/>
  <c r="K546" i="1"/>
  <c r="M546" i="1"/>
  <c r="A2056" i="1"/>
  <c r="G2056" i="1"/>
  <c r="H2056" i="1"/>
  <c r="I2056" i="1"/>
  <c r="J2056" i="1"/>
  <c r="K2056" i="1"/>
  <c r="M2056" i="1"/>
  <c r="A547" i="1"/>
  <c r="G547" i="1"/>
  <c r="H547" i="1"/>
  <c r="I547" i="1"/>
  <c r="J547" i="1"/>
  <c r="M547" i="1"/>
  <c r="A548" i="1"/>
  <c r="G548" i="1"/>
  <c r="H548" i="1"/>
  <c r="I548" i="1"/>
  <c r="J548" i="1"/>
  <c r="L548" i="1"/>
  <c r="M548" i="1"/>
  <c r="A4408" i="1"/>
  <c r="G4408" i="1"/>
  <c r="H4408" i="1"/>
  <c r="I4408" i="1"/>
  <c r="J4408" i="1"/>
  <c r="K4408" i="1"/>
  <c r="M4408" i="1"/>
  <c r="A4203" i="1"/>
  <c r="G4203" i="1"/>
  <c r="H4203" i="1"/>
  <c r="I4203" i="1"/>
  <c r="J4203" i="1"/>
  <c r="A4409" i="1"/>
  <c r="G4409" i="1"/>
  <c r="H4409" i="1"/>
  <c r="I4409" i="1"/>
  <c r="J4409" i="1"/>
  <c r="K4409" i="1"/>
  <c r="M4409" i="1"/>
  <c r="A2057" i="1"/>
  <c r="G2057" i="1"/>
  <c r="H2057" i="1"/>
  <c r="I2057" i="1"/>
  <c r="J2057" i="1"/>
  <c r="K2057" i="1"/>
  <c r="M2057" i="1"/>
  <c r="A3163" i="1"/>
  <c r="G3163" i="1"/>
  <c r="H3163" i="1"/>
  <c r="I3163" i="1"/>
  <c r="J3163" i="1"/>
  <c r="A36" i="1"/>
  <c r="G36" i="1"/>
  <c r="H36" i="1"/>
  <c r="I36" i="1"/>
  <c r="J36" i="1"/>
  <c r="K36" i="1"/>
  <c r="M36" i="1"/>
  <c r="A37" i="1"/>
  <c r="G37" i="1"/>
  <c r="H37" i="1"/>
  <c r="I37" i="1"/>
  <c r="J37" i="1"/>
  <c r="K37" i="1"/>
  <c r="M37" i="1"/>
  <c r="A549" i="1"/>
  <c r="G549" i="1"/>
  <c r="H549" i="1"/>
  <c r="I549" i="1"/>
  <c r="J549" i="1"/>
  <c r="K549" i="1"/>
  <c r="M549" i="1"/>
  <c r="A550" i="1"/>
  <c r="G550" i="1"/>
  <c r="H550" i="1"/>
  <c r="I550" i="1"/>
  <c r="J550" i="1"/>
  <c r="K550" i="1"/>
  <c r="M550" i="1"/>
  <c r="A4204" i="1"/>
  <c r="G4204" i="1"/>
  <c r="H4204" i="1"/>
  <c r="I4204" i="1"/>
  <c r="J4204" i="1"/>
  <c r="K4204" i="1"/>
  <c r="M4204" i="1"/>
  <c r="A551" i="1"/>
  <c r="G551" i="1"/>
  <c r="H551" i="1"/>
  <c r="I551" i="1"/>
  <c r="J551" i="1"/>
  <c r="M551" i="1"/>
  <c r="A3164" i="1"/>
  <c r="G3164" i="1"/>
  <c r="H3164" i="1"/>
  <c r="I3164" i="1"/>
  <c r="J3164" i="1"/>
  <c r="K3164" i="1"/>
  <c r="M3164" i="1"/>
  <c r="A3165" i="1"/>
  <c r="G3165" i="1"/>
  <c r="H3165" i="1"/>
  <c r="I3165" i="1"/>
  <c r="J3165" i="1"/>
  <c r="K3165" i="1"/>
  <c r="M3165" i="1"/>
  <c r="A2058" i="1"/>
  <c r="G2058" i="1"/>
  <c r="H2058" i="1"/>
  <c r="I2058" i="1"/>
  <c r="J2058" i="1"/>
  <c r="A552" i="1"/>
  <c r="G552" i="1"/>
  <c r="H552" i="1"/>
  <c r="I552" i="1"/>
  <c r="J552" i="1"/>
  <c r="K552" i="1"/>
  <c r="M552" i="1"/>
  <c r="A3166" i="1"/>
  <c r="G3166" i="1"/>
  <c r="H3166" i="1"/>
  <c r="I3166" i="1"/>
  <c r="J3166" i="1"/>
  <c r="A4662" i="1"/>
  <c r="G4662" i="1"/>
  <c r="H4662" i="1"/>
  <c r="I4662" i="1"/>
  <c r="J4662" i="1"/>
  <c r="M4662" i="1"/>
  <c r="A4205" i="1"/>
  <c r="G4205" i="1"/>
  <c r="H4205" i="1"/>
  <c r="I4205" i="1"/>
  <c r="J4205" i="1"/>
  <c r="K4205" i="1"/>
  <c r="M4205" i="1"/>
  <c r="A2059" i="1"/>
  <c r="G2059" i="1"/>
  <c r="H2059" i="1"/>
  <c r="I2059" i="1"/>
  <c r="J2059" i="1"/>
  <c r="K2059" i="1"/>
  <c r="M2059" i="1"/>
  <c r="A553" i="1"/>
  <c r="G553" i="1"/>
  <c r="H553" i="1"/>
  <c r="I553" i="1"/>
  <c r="J553" i="1"/>
  <c r="K553" i="1"/>
  <c r="M553" i="1"/>
  <c r="A554" i="1"/>
  <c r="G554" i="1"/>
  <c r="H554" i="1"/>
  <c r="I554" i="1"/>
  <c r="J554" i="1"/>
  <c r="K554" i="1"/>
  <c r="M554" i="1"/>
  <c r="A555" i="1"/>
  <c r="G555" i="1"/>
  <c r="H555" i="1"/>
  <c r="I555" i="1"/>
  <c r="J555" i="1"/>
  <c r="K555" i="1"/>
  <c r="M555" i="1"/>
  <c r="A556" i="1"/>
  <c r="G556" i="1"/>
  <c r="H556" i="1"/>
  <c r="I556" i="1"/>
  <c r="J556" i="1"/>
  <c r="K556" i="1"/>
  <c r="M556" i="1"/>
  <c r="A2060" i="1"/>
  <c r="G2060" i="1"/>
  <c r="H2060" i="1"/>
  <c r="I2060" i="1"/>
  <c r="J2060" i="1"/>
  <c r="K2060" i="1"/>
  <c r="M2060" i="1"/>
  <c r="A38" i="1"/>
  <c r="G38" i="1"/>
  <c r="H38" i="1"/>
  <c r="I38" i="1"/>
  <c r="J38" i="1"/>
  <c r="K38" i="1"/>
  <c r="M38" i="1"/>
  <c r="A557" i="1"/>
  <c r="G557" i="1"/>
  <c r="H557" i="1"/>
  <c r="I557" i="1"/>
  <c r="J557" i="1"/>
  <c r="K557" i="1"/>
  <c r="M557" i="1"/>
  <c r="A3167" i="1"/>
  <c r="G3167" i="1"/>
  <c r="H3167" i="1"/>
  <c r="I3167" i="1"/>
  <c r="J3167" i="1"/>
  <c r="K3167" i="1"/>
  <c r="M3167" i="1"/>
  <c r="A558" i="1"/>
  <c r="G558" i="1"/>
  <c r="H558" i="1"/>
  <c r="I558" i="1"/>
  <c r="J558" i="1"/>
  <c r="K558" i="1"/>
  <c r="M558" i="1"/>
  <c r="A2061" i="1"/>
  <c r="G2061" i="1"/>
  <c r="H2061" i="1"/>
  <c r="I2061" i="1"/>
  <c r="J2061" i="1"/>
  <c r="A4410" i="1"/>
  <c r="G4410" i="1"/>
  <c r="H4410" i="1"/>
  <c r="I4410" i="1"/>
  <c r="J4410" i="1"/>
  <c r="K4410" i="1"/>
  <c r="M4410" i="1"/>
  <c r="A559" i="1"/>
  <c r="G559" i="1"/>
  <c r="H559" i="1"/>
  <c r="I559" i="1"/>
  <c r="J559" i="1"/>
  <c r="K559" i="1"/>
  <c r="M559" i="1"/>
  <c r="A560" i="1"/>
  <c r="G560" i="1"/>
  <c r="H560" i="1"/>
  <c r="I560" i="1"/>
  <c r="J560" i="1"/>
  <c r="M560" i="1"/>
  <c r="A561" i="1"/>
  <c r="G561" i="1"/>
  <c r="H561" i="1"/>
  <c r="I561" i="1"/>
  <c r="J561" i="1"/>
  <c r="K561" i="1"/>
  <c r="M561" i="1"/>
  <c r="A39" i="1"/>
  <c r="G39" i="1"/>
  <c r="H39" i="1"/>
  <c r="I39" i="1"/>
  <c r="J39" i="1"/>
  <c r="A562" i="1"/>
  <c r="G562" i="1"/>
  <c r="H562" i="1"/>
  <c r="I562" i="1"/>
  <c r="J562" i="1"/>
  <c r="K562" i="1"/>
  <c r="M562" i="1"/>
  <c r="A3168" i="1"/>
  <c r="G3168" i="1"/>
  <c r="H3168" i="1"/>
  <c r="I3168" i="1"/>
  <c r="J3168" i="1"/>
  <c r="K3168" i="1"/>
  <c r="M3168" i="1"/>
  <c r="A3169" i="1"/>
  <c r="G3169" i="1"/>
  <c r="H3169" i="1"/>
  <c r="I3169" i="1"/>
  <c r="J3169" i="1"/>
  <c r="A563" i="1"/>
  <c r="G563" i="1"/>
  <c r="H563" i="1"/>
  <c r="I563" i="1"/>
  <c r="J563" i="1"/>
  <c r="K563" i="1"/>
  <c r="M563" i="1"/>
  <c r="A3170" i="1"/>
  <c r="G3170" i="1"/>
  <c r="H3170" i="1"/>
  <c r="I3170" i="1"/>
  <c r="J3170" i="1"/>
  <c r="K3170" i="1"/>
  <c r="M3170" i="1"/>
  <c r="A564" i="1"/>
  <c r="G564" i="1"/>
  <c r="H564" i="1"/>
  <c r="I564" i="1"/>
  <c r="J564" i="1"/>
  <c r="K564" i="1"/>
  <c r="M564" i="1"/>
  <c r="A3171" i="1"/>
  <c r="G3171" i="1"/>
  <c r="H3171" i="1"/>
  <c r="I3171" i="1"/>
  <c r="J3171" i="1"/>
  <c r="A565" i="1"/>
  <c r="G565" i="1"/>
  <c r="H565" i="1"/>
  <c r="I565" i="1"/>
  <c r="J565" i="1"/>
  <c r="K565" i="1"/>
  <c r="M565" i="1"/>
  <c r="A4663" i="1"/>
  <c r="G4663" i="1"/>
  <c r="H4663" i="1"/>
  <c r="I4663" i="1"/>
  <c r="J4663" i="1"/>
  <c r="M4663" i="1"/>
  <c r="A2062" i="1"/>
  <c r="G2062" i="1"/>
  <c r="H2062" i="1"/>
  <c r="I2062" i="1"/>
  <c r="J2062" i="1"/>
  <c r="A566" i="1"/>
  <c r="G566" i="1"/>
  <c r="H566" i="1"/>
  <c r="I566" i="1"/>
  <c r="J566" i="1"/>
  <c r="K566" i="1"/>
  <c r="M566" i="1"/>
  <c r="A3172" i="1"/>
  <c r="G3172" i="1"/>
  <c r="H3172" i="1"/>
  <c r="I3172" i="1"/>
  <c r="J3172" i="1"/>
  <c r="A2063" i="1"/>
  <c r="G2063" i="1"/>
  <c r="H2063" i="1"/>
  <c r="I2063" i="1"/>
  <c r="J2063" i="1"/>
  <c r="K2063" i="1"/>
  <c r="M2063" i="1"/>
  <c r="A2064" i="1"/>
  <c r="G2064" i="1"/>
  <c r="H2064" i="1"/>
  <c r="I2064" i="1"/>
  <c r="J2064" i="1"/>
  <c r="K2064" i="1"/>
  <c r="M2064" i="1"/>
  <c r="A3173" i="1"/>
  <c r="G3173" i="1"/>
  <c r="H3173" i="1"/>
  <c r="I3173" i="1"/>
  <c r="J3173" i="1"/>
  <c r="A3174" i="1"/>
  <c r="G3174" i="1"/>
  <c r="H3174" i="1"/>
  <c r="I3174" i="1"/>
  <c r="J3174" i="1"/>
  <c r="K3174" i="1"/>
  <c r="M3174" i="1"/>
  <c r="A4206" i="1"/>
  <c r="G4206" i="1"/>
  <c r="H4206" i="1"/>
  <c r="I4206" i="1"/>
  <c r="J4206" i="1"/>
  <c r="K4206" i="1"/>
  <c r="M4206" i="1"/>
  <c r="A567" i="1"/>
  <c r="G567" i="1"/>
  <c r="H567" i="1"/>
  <c r="I567" i="1"/>
  <c r="J567" i="1"/>
  <c r="K567" i="1"/>
  <c r="M567" i="1"/>
  <c r="A568" i="1"/>
  <c r="G568" i="1"/>
  <c r="H568" i="1"/>
  <c r="I568" i="1"/>
  <c r="J568" i="1"/>
  <c r="K568" i="1"/>
  <c r="M568" i="1"/>
  <c r="A4411" i="1"/>
  <c r="G4411" i="1"/>
  <c r="H4411" i="1"/>
  <c r="I4411" i="1"/>
  <c r="J4411" i="1"/>
  <c r="K4411" i="1"/>
  <c r="M4411" i="1"/>
  <c r="A569" i="1"/>
  <c r="G569" i="1"/>
  <c r="H569" i="1"/>
  <c r="I569" i="1"/>
  <c r="J569" i="1"/>
  <c r="K569" i="1"/>
  <c r="M569" i="1"/>
  <c r="A40" i="1"/>
  <c r="G40" i="1"/>
  <c r="H40" i="1"/>
  <c r="I40" i="1"/>
  <c r="J40" i="1"/>
  <c r="A3175" i="1"/>
  <c r="G3175" i="1"/>
  <c r="H3175" i="1"/>
  <c r="I3175" i="1"/>
  <c r="J3175" i="1"/>
  <c r="K3175" i="1"/>
  <c r="M3175" i="1"/>
  <c r="A570" i="1"/>
  <c r="G570" i="1"/>
  <c r="H570" i="1"/>
  <c r="I570" i="1"/>
  <c r="J570" i="1"/>
  <c r="M570" i="1"/>
  <c r="A2065" i="1"/>
  <c r="G2065" i="1"/>
  <c r="H2065" i="1"/>
  <c r="I2065" i="1"/>
  <c r="J2065" i="1"/>
  <c r="A3176" i="1"/>
  <c r="G3176" i="1"/>
  <c r="H3176" i="1"/>
  <c r="I3176" i="1"/>
  <c r="J3176" i="1"/>
  <c r="K3176" i="1"/>
  <c r="M3176" i="1"/>
  <c r="A571" i="1"/>
  <c r="G571" i="1"/>
  <c r="H571" i="1"/>
  <c r="I571" i="1"/>
  <c r="J571" i="1"/>
  <c r="K571" i="1"/>
  <c r="L571" i="1"/>
  <c r="M571" i="1"/>
  <c r="A572" i="1"/>
  <c r="G572" i="1"/>
  <c r="H572" i="1"/>
  <c r="I572" i="1"/>
  <c r="J572" i="1"/>
  <c r="K572" i="1"/>
  <c r="M572" i="1"/>
  <c r="A3177" i="1"/>
  <c r="G3177" i="1"/>
  <c r="H3177" i="1"/>
  <c r="I3177" i="1"/>
  <c r="J3177" i="1"/>
  <c r="K3177" i="1"/>
  <c r="M3177" i="1"/>
  <c r="A2772" i="1"/>
  <c r="G2772" i="1"/>
  <c r="H2772" i="1"/>
  <c r="I2772" i="1"/>
  <c r="J2772" i="1"/>
  <c r="K2772" i="1"/>
  <c r="M2772" i="1"/>
  <c r="A3178" i="1"/>
  <c r="G3178" i="1"/>
  <c r="H3178" i="1"/>
  <c r="I3178" i="1"/>
  <c r="J3178" i="1"/>
  <c r="K3178" i="1"/>
  <c r="M3178" i="1"/>
  <c r="A3179" i="1"/>
  <c r="G3179" i="1"/>
  <c r="H3179" i="1"/>
  <c r="I3179" i="1"/>
  <c r="J3179" i="1"/>
  <c r="K3179" i="1"/>
  <c r="M3179" i="1"/>
  <c r="A3180" i="1"/>
  <c r="G3180" i="1"/>
  <c r="H3180" i="1"/>
  <c r="I3180" i="1"/>
  <c r="J3180" i="1"/>
  <c r="K3180" i="1"/>
  <c r="M3180" i="1"/>
  <c r="A3181" i="1"/>
  <c r="G3181" i="1"/>
  <c r="H3181" i="1"/>
  <c r="I3181" i="1"/>
  <c r="J3181" i="1"/>
  <c r="A573" i="1"/>
  <c r="G573" i="1"/>
  <c r="H573" i="1"/>
  <c r="I573" i="1"/>
  <c r="J573" i="1"/>
  <c r="M573" i="1"/>
  <c r="A574" i="1"/>
  <c r="G574" i="1"/>
  <c r="H574" i="1"/>
  <c r="I574" i="1"/>
  <c r="J574" i="1"/>
  <c r="K574" i="1"/>
  <c r="M574" i="1"/>
  <c r="A575" i="1"/>
  <c r="G575" i="1"/>
  <c r="H575" i="1"/>
  <c r="I575" i="1"/>
  <c r="J575" i="1"/>
  <c r="K575" i="1"/>
  <c r="M575" i="1"/>
  <c r="A576" i="1"/>
  <c r="G576" i="1"/>
  <c r="H576" i="1"/>
  <c r="I576" i="1"/>
  <c r="J576" i="1"/>
  <c r="M576" i="1"/>
  <c r="A577" i="1"/>
  <c r="G577" i="1"/>
  <c r="H577" i="1"/>
  <c r="I577" i="1"/>
  <c r="J577" i="1"/>
  <c r="M577" i="1"/>
  <c r="A578" i="1"/>
  <c r="G578" i="1"/>
  <c r="H578" i="1"/>
  <c r="I578" i="1"/>
  <c r="J578" i="1"/>
  <c r="K578" i="1"/>
  <c r="M578" i="1"/>
  <c r="A579" i="1"/>
  <c r="G579" i="1"/>
  <c r="H579" i="1"/>
  <c r="I579" i="1"/>
  <c r="J579" i="1"/>
  <c r="K579" i="1"/>
  <c r="M579" i="1"/>
  <c r="A2066" i="1"/>
  <c r="G2066" i="1"/>
  <c r="H2066" i="1"/>
  <c r="I2066" i="1"/>
  <c r="J2066" i="1"/>
  <c r="K2066" i="1"/>
  <c r="M2066" i="1"/>
  <c r="A580" i="1"/>
  <c r="G580" i="1"/>
  <c r="H580" i="1"/>
  <c r="I580" i="1"/>
  <c r="J580" i="1"/>
  <c r="K580" i="1"/>
  <c r="M580" i="1"/>
  <c r="A581" i="1"/>
  <c r="G581" i="1"/>
  <c r="H581" i="1"/>
  <c r="I581" i="1"/>
  <c r="J581" i="1"/>
  <c r="K581" i="1"/>
  <c r="M581" i="1"/>
  <c r="A2067" i="1"/>
  <c r="G2067" i="1"/>
  <c r="H2067" i="1"/>
  <c r="I2067" i="1"/>
  <c r="J2067" i="1"/>
  <c r="K2067" i="1"/>
  <c r="M2067" i="1"/>
  <c r="A3182" i="1"/>
  <c r="G3182" i="1"/>
  <c r="H3182" i="1"/>
  <c r="I3182" i="1"/>
  <c r="J3182" i="1"/>
  <c r="A3183" i="1"/>
  <c r="G3183" i="1"/>
  <c r="H3183" i="1"/>
  <c r="I3183" i="1"/>
  <c r="J3183" i="1"/>
  <c r="K3183" i="1"/>
  <c r="M3183" i="1"/>
  <c r="A582" i="1"/>
  <c r="G582" i="1"/>
  <c r="H582" i="1"/>
  <c r="I582" i="1"/>
  <c r="J582" i="1"/>
  <c r="M582" i="1"/>
  <c r="A583" i="1"/>
  <c r="G583" i="1"/>
  <c r="H583" i="1"/>
  <c r="I583" i="1"/>
  <c r="J583" i="1"/>
  <c r="K583" i="1"/>
  <c r="M583" i="1"/>
  <c r="A584" i="1"/>
  <c r="G584" i="1"/>
  <c r="H584" i="1"/>
  <c r="I584" i="1"/>
  <c r="J584" i="1"/>
  <c r="K584" i="1"/>
  <c r="M584" i="1"/>
  <c r="A3184" i="1"/>
  <c r="G3184" i="1"/>
  <c r="H3184" i="1"/>
  <c r="I3184" i="1"/>
  <c r="J3184" i="1"/>
  <c r="K3184" i="1"/>
  <c r="M3184" i="1"/>
  <c r="A3185" i="1"/>
  <c r="G3185" i="1"/>
  <c r="H3185" i="1"/>
  <c r="I3185" i="1"/>
  <c r="J3185" i="1"/>
  <c r="K3185" i="1"/>
  <c r="M3185" i="1"/>
  <c r="A2068" i="1"/>
  <c r="G2068" i="1"/>
  <c r="H2068" i="1"/>
  <c r="I2068" i="1"/>
  <c r="J2068" i="1"/>
  <c r="A585" i="1"/>
  <c r="G585" i="1"/>
  <c r="H585" i="1"/>
  <c r="I585" i="1"/>
  <c r="J585" i="1"/>
  <c r="M585" i="1"/>
  <c r="A2773" i="1"/>
  <c r="G2773" i="1"/>
  <c r="H2773" i="1"/>
  <c r="I2773" i="1"/>
  <c r="J2773" i="1"/>
  <c r="K2773" i="1"/>
  <c r="M2773" i="1"/>
  <c r="A2069" i="1"/>
  <c r="G2069" i="1"/>
  <c r="H2069" i="1"/>
  <c r="I2069" i="1"/>
  <c r="J2069" i="1"/>
  <c r="K2069" i="1"/>
  <c r="M2069" i="1"/>
  <c r="A586" i="1"/>
  <c r="G586" i="1"/>
  <c r="H586" i="1"/>
  <c r="I586" i="1"/>
  <c r="J586" i="1"/>
  <c r="K586" i="1"/>
  <c r="M586" i="1"/>
  <c r="A587" i="1"/>
  <c r="G587" i="1"/>
  <c r="H587" i="1"/>
  <c r="I587" i="1"/>
  <c r="J587" i="1"/>
  <c r="K587" i="1"/>
  <c r="M587" i="1"/>
  <c r="A4664" i="1"/>
  <c r="G4664" i="1"/>
  <c r="H4664" i="1"/>
  <c r="I4664" i="1"/>
  <c r="J4664" i="1"/>
  <c r="M4664" i="1"/>
  <c r="A3186" i="1"/>
  <c r="G3186" i="1"/>
  <c r="H3186" i="1"/>
  <c r="I3186" i="1"/>
  <c r="J3186" i="1"/>
  <c r="A4323" i="1"/>
  <c r="G4323" i="1"/>
  <c r="H4323" i="1"/>
  <c r="I4323" i="1"/>
  <c r="J4323" i="1"/>
  <c r="K4323" i="1"/>
  <c r="M4323" i="1"/>
  <c r="A3187" i="1"/>
  <c r="G3187" i="1"/>
  <c r="H3187" i="1"/>
  <c r="I3187" i="1"/>
  <c r="J3187" i="1"/>
  <c r="K3187" i="1"/>
  <c r="M3187" i="1"/>
  <c r="A3188" i="1"/>
  <c r="G3188" i="1"/>
  <c r="H3188" i="1"/>
  <c r="I3188" i="1"/>
  <c r="J3188" i="1"/>
  <c r="K3188" i="1"/>
  <c r="M3188" i="1"/>
  <c r="A588" i="1"/>
  <c r="G588" i="1"/>
  <c r="H588" i="1"/>
  <c r="I588" i="1"/>
  <c r="J588" i="1"/>
  <c r="K588" i="1"/>
  <c r="M588" i="1"/>
  <c r="A2070" i="1"/>
  <c r="G2070" i="1"/>
  <c r="H2070" i="1"/>
  <c r="I2070" i="1"/>
  <c r="J2070" i="1"/>
  <c r="K2070" i="1"/>
  <c r="M2070" i="1"/>
  <c r="A589" i="1"/>
  <c r="G589" i="1"/>
  <c r="H589" i="1"/>
  <c r="I589" i="1"/>
  <c r="J589" i="1"/>
  <c r="M589" i="1"/>
  <c r="A590" i="1"/>
  <c r="G590" i="1"/>
  <c r="H590" i="1"/>
  <c r="I590" i="1"/>
  <c r="J590" i="1"/>
  <c r="K590" i="1"/>
  <c r="M590" i="1"/>
  <c r="A3189" i="1"/>
  <c r="G3189" i="1"/>
  <c r="H3189" i="1"/>
  <c r="I3189" i="1"/>
  <c r="J3189" i="1"/>
  <c r="K3189" i="1"/>
  <c r="M3189" i="1"/>
  <c r="A4412" i="1"/>
  <c r="G4412" i="1"/>
  <c r="H4412" i="1"/>
  <c r="I4412" i="1"/>
  <c r="J4412" i="1"/>
  <c r="M4412" i="1"/>
  <c r="A591" i="1"/>
  <c r="G591" i="1"/>
  <c r="H591" i="1"/>
  <c r="I591" i="1"/>
  <c r="J591" i="1"/>
  <c r="K591" i="1"/>
  <c r="M591" i="1"/>
  <c r="A3190" i="1"/>
  <c r="G3190" i="1"/>
  <c r="H3190" i="1"/>
  <c r="I3190" i="1"/>
  <c r="J3190" i="1"/>
  <c r="K3190" i="1"/>
  <c r="M3190" i="1"/>
  <c r="A3191" i="1"/>
  <c r="G3191" i="1"/>
  <c r="H3191" i="1"/>
  <c r="I3191" i="1"/>
  <c r="J3191" i="1"/>
  <c r="K3191" i="1"/>
  <c r="M3191" i="1"/>
  <c r="A3192" i="1"/>
  <c r="G3192" i="1"/>
  <c r="H3192" i="1"/>
  <c r="I3192" i="1"/>
  <c r="J3192" i="1"/>
  <c r="A3193" i="1"/>
  <c r="G3193" i="1"/>
  <c r="H3193" i="1"/>
  <c r="I3193" i="1"/>
  <c r="J3193" i="1"/>
  <c r="K3193" i="1"/>
  <c r="M3193" i="1"/>
  <c r="A3194" i="1"/>
  <c r="G3194" i="1"/>
  <c r="H3194" i="1"/>
  <c r="I3194" i="1"/>
  <c r="J3194" i="1"/>
  <c r="K3194" i="1"/>
  <c r="M3194" i="1"/>
  <c r="A2071" i="1"/>
  <c r="G2071" i="1"/>
  <c r="H2071" i="1"/>
  <c r="I2071" i="1"/>
  <c r="J2071" i="1"/>
  <c r="K2071" i="1"/>
  <c r="M2071" i="1"/>
  <c r="A3195" i="1"/>
  <c r="G3195" i="1"/>
  <c r="H3195" i="1"/>
  <c r="I3195" i="1"/>
  <c r="J3195" i="1"/>
  <c r="A592" i="1"/>
  <c r="G592" i="1"/>
  <c r="H592" i="1"/>
  <c r="I592" i="1"/>
  <c r="J592" i="1"/>
  <c r="K592" i="1"/>
  <c r="M592" i="1"/>
  <c r="A3196" i="1"/>
  <c r="G3196" i="1"/>
  <c r="H3196" i="1"/>
  <c r="I3196" i="1"/>
  <c r="J3196" i="1"/>
  <c r="A593" i="1"/>
  <c r="G593" i="1"/>
  <c r="H593" i="1"/>
  <c r="I593" i="1"/>
  <c r="J593" i="1"/>
  <c r="K593" i="1"/>
  <c r="M593" i="1"/>
  <c r="A3197" i="1"/>
  <c r="G3197" i="1"/>
  <c r="H3197" i="1"/>
  <c r="I3197" i="1"/>
  <c r="J3197" i="1"/>
  <c r="A4665" i="1"/>
  <c r="G4665" i="1"/>
  <c r="H4665" i="1"/>
  <c r="I4665" i="1"/>
  <c r="J4665" i="1"/>
  <c r="M4665" i="1"/>
  <c r="A3198" i="1"/>
  <c r="G3198" i="1"/>
  <c r="H3198" i="1"/>
  <c r="I3198" i="1"/>
  <c r="J3198" i="1"/>
  <c r="K3198" i="1"/>
  <c r="M3198" i="1"/>
  <c r="A2072" i="1"/>
  <c r="G2072" i="1"/>
  <c r="H2072" i="1"/>
  <c r="I2072" i="1"/>
  <c r="J2072" i="1"/>
  <c r="M2072" i="1"/>
  <c r="A4413" i="1"/>
  <c r="G4413" i="1"/>
  <c r="H4413" i="1"/>
  <c r="I4413" i="1"/>
  <c r="J4413" i="1"/>
  <c r="K4413" i="1"/>
  <c r="M4413" i="1"/>
  <c r="A4666" i="1"/>
  <c r="G4666" i="1"/>
  <c r="H4666" i="1"/>
  <c r="I4666" i="1"/>
  <c r="J4666" i="1"/>
  <c r="M4666" i="1"/>
  <c r="A594" i="1"/>
  <c r="G594" i="1"/>
  <c r="H594" i="1"/>
  <c r="I594" i="1"/>
  <c r="J594" i="1"/>
  <c r="K594" i="1"/>
  <c r="M594" i="1"/>
  <c r="A595" i="1"/>
  <c r="G595" i="1"/>
  <c r="H595" i="1"/>
  <c r="I595" i="1"/>
  <c r="J595" i="1"/>
  <c r="K595" i="1"/>
  <c r="M595" i="1"/>
  <c r="A596" i="1"/>
  <c r="G596" i="1"/>
  <c r="H596" i="1"/>
  <c r="I596" i="1"/>
  <c r="J596" i="1"/>
  <c r="K596" i="1"/>
  <c r="M596" i="1"/>
  <c r="A2073" i="1"/>
  <c r="G2073" i="1"/>
  <c r="H2073" i="1"/>
  <c r="I2073" i="1"/>
  <c r="J2073" i="1"/>
  <c r="K2073" i="1"/>
  <c r="M2073" i="1"/>
  <c r="A4667" i="1"/>
  <c r="G4667" i="1"/>
  <c r="H4667" i="1"/>
  <c r="I4667" i="1"/>
  <c r="J4667" i="1"/>
  <c r="M4667" i="1"/>
  <c r="A4668" i="1"/>
  <c r="G4668" i="1"/>
  <c r="H4668" i="1"/>
  <c r="I4668" i="1"/>
  <c r="J4668" i="1"/>
  <c r="M4668" i="1"/>
  <c r="A4324" i="1"/>
  <c r="G4324" i="1"/>
  <c r="H4324" i="1"/>
  <c r="I4324" i="1"/>
  <c r="J4324" i="1"/>
  <c r="M4324" i="1"/>
  <c r="A3199" i="1"/>
  <c r="G3199" i="1"/>
  <c r="H3199" i="1"/>
  <c r="I3199" i="1"/>
  <c r="J3199" i="1"/>
  <c r="A4414" i="1"/>
  <c r="G4414" i="1"/>
  <c r="H4414" i="1"/>
  <c r="I4414" i="1"/>
  <c r="J4414" i="1"/>
  <c r="K4414" i="1"/>
  <c r="M4414" i="1"/>
  <c r="A597" i="1"/>
  <c r="G597" i="1"/>
  <c r="H597" i="1"/>
  <c r="I597" i="1"/>
  <c r="J597" i="1"/>
  <c r="M597" i="1"/>
  <c r="A3200" i="1"/>
  <c r="G3200" i="1"/>
  <c r="H3200" i="1"/>
  <c r="I3200" i="1"/>
  <c r="J3200" i="1"/>
  <c r="K3200" i="1"/>
  <c r="M3200" i="1"/>
  <c r="A2074" i="1"/>
  <c r="G2074" i="1"/>
  <c r="H2074" i="1"/>
  <c r="I2074" i="1"/>
  <c r="J2074" i="1"/>
  <c r="K2074" i="1"/>
  <c r="M2074" i="1"/>
  <c r="A3201" i="1"/>
  <c r="G3201" i="1"/>
  <c r="H3201" i="1"/>
  <c r="I3201" i="1"/>
  <c r="J3201" i="1"/>
  <c r="K3201" i="1"/>
  <c r="M3201" i="1"/>
  <c r="A598" i="1"/>
  <c r="G598" i="1"/>
  <c r="H598" i="1"/>
  <c r="I598" i="1"/>
  <c r="J598" i="1"/>
  <c r="M598" i="1"/>
  <c r="A4415" i="1"/>
  <c r="G4415" i="1"/>
  <c r="H4415" i="1"/>
  <c r="I4415" i="1"/>
  <c r="J4415" i="1"/>
  <c r="K4415" i="1"/>
  <c r="M4415" i="1"/>
  <c r="A599" i="1"/>
  <c r="G599" i="1"/>
  <c r="H599" i="1"/>
  <c r="I599" i="1"/>
  <c r="J599" i="1"/>
  <c r="M599" i="1"/>
  <c r="A600" i="1"/>
  <c r="G600" i="1"/>
  <c r="H600" i="1"/>
  <c r="I600" i="1"/>
  <c r="J600" i="1"/>
  <c r="K600" i="1"/>
  <c r="M600" i="1"/>
  <c r="A3202" i="1"/>
  <c r="G3202" i="1"/>
  <c r="H3202" i="1"/>
  <c r="I3202" i="1"/>
  <c r="J3202" i="1"/>
  <c r="K3202" i="1"/>
  <c r="M3202" i="1"/>
  <c r="A4669" i="1"/>
  <c r="G4669" i="1"/>
  <c r="H4669" i="1"/>
  <c r="I4669" i="1"/>
  <c r="J4669" i="1"/>
  <c r="M4669" i="1"/>
  <c r="A601" i="1"/>
  <c r="G601" i="1"/>
  <c r="H601" i="1"/>
  <c r="I601" i="1"/>
  <c r="J601" i="1"/>
  <c r="M601" i="1"/>
  <c r="A4416" i="1"/>
  <c r="G4416" i="1"/>
  <c r="H4416" i="1"/>
  <c r="I4416" i="1"/>
  <c r="J4416" i="1"/>
  <c r="K4416" i="1"/>
  <c r="M4416" i="1"/>
  <c r="A41" i="1"/>
  <c r="G41" i="1"/>
  <c r="H41" i="1"/>
  <c r="I41" i="1"/>
  <c r="J41" i="1"/>
  <c r="A3203" i="1"/>
  <c r="G3203" i="1"/>
  <c r="H3203" i="1"/>
  <c r="I3203" i="1"/>
  <c r="J3203" i="1"/>
  <c r="A602" i="1"/>
  <c r="G602" i="1"/>
  <c r="H602" i="1"/>
  <c r="I602" i="1"/>
  <c r="J602" i="1"/>
  <c r="K602" i="1"/>
  <c r="M602" i="1"/>
  <c r="A2075" i="1"/>
  <c r="G2075" i="1"/>
  <c r="H2075" i="1"/>
  <c r="I2075" i="1"/>
  <c r="J2075" i="1"/>
  <c r="K2075" i="1"/>
  <c r="M2075" i="1"/>
  <c r="A603" i="1"/>
  <c r="G603" i="1"/>
  <c r="H603" i="1"/>
  <c r="I603" i="1"/>
  <c r="J603" i="1"/>
  <c r="K603" i="1"/>
  <c r="M603" i="1"/>
  <c r="A2076" i="1"/>
  <c r="G2076" i="1"/>
  <c r="H2076" i="1"/>
  <c r="I2076" i="1"/>
  <c r="J2076" i="1"/>
  <c r="K2076" i="1"/>
  <c r="M2076" i="1"/>
  <c r="A604" i="1"/>
  <c r="G604" i="1"/>
  <c r="H604" i="1"/>
  <c r="I604" i="1"/>
  <c r="J604" i="1"/>
  <c r="M604" i="1"/>
  <c r="A3204" i="1"/>
  <c r="G3204" i="1"/>
  <c r="H3204" i="1"/>
  <c r="I3204" i="1"/>
  <c r="J3204" i="1"/>
  <c r="A605" i="1"/>
  <c r="G605" i="1"/>
  <c r="H605" i="1"/>
  <c r="I605" i="1"/>
  <c r="J605" i="1"/>
  <c r="M605" i="1"/>
  <c r="A606" i="1"/>
  <c r="G606" i="1"/>
  <c r="H606" i="1"/>
  <c r="I606" i="1"/>
  <c r="J606" i="1"/>
  <c r="K606" i="1"/>
  <c r="M606" i="1"/>
  <c r="A607" i="1"/>
  <c r="G607" i="1"/>
  <c r="H607" i="1"/>
  <c r="I607" i="1"/>
  <c r="J607" i="1"/>
  <c r="K607" i="1"/>
  <c r="M607" i="1"/>
  <c r="A608" i="1"/>
  <c r="G608" i="1"/>
  <c r="H608" i="1"/>
  <c r="I608" i="1"/>
  <c r="J608" i="1"/>
  <c r="K608" i="1"/>
  <c r="M608" i="1"/>
  <c r="A2077" i="1"/>
  <c r="G2077" i="1"/>
  <c r="H2077" i="1"/>
  <c r="I2077" i="1"/>
  <c r="J2077" i="1"/>
  <c r="K2077" i="1"/>
  <c r="M2077" i="1"/>
  <c r="A2078" i="1"/>
  <c r="G2078" i="1"/>
  <c r="H2078" i="1"/>
  <c r="I2078" i="1"/>
  <c r="J2078" i="1"/>
  <c r="K2078" i="1"/>
  <c r="M2078" i="1"/>
  <c r="A3205" i="1"/>
  <c r="G3205" i="1"/>
  <c r="H3205" i="1"/>
  <c r="I3205" i="1"/>
  <c r="J3205" i="1"/>
  <c r="K3205" i="1"/>
  <c r="M3205" i="1"/>
  <c r="A42" i="1"/>
  <c r="G42" i="1"/>
  <c r="H42" i="1"/>
  <c r="I42" i="1"/>
  <c r="J42" i="1"/>
  <c r="A2079" i="1"/>
  <c r="G2079" i="1"/>
  <c r="H2079" i="1"/>
  <c r="I2079" i="1"/>
  <c r="J2079" i="1"/>
  <c r="K2079" i="1"/>
  <c r="M2079" i="1"/>
  <c r="A4417" i="1"/>
  <c r="G4417" i="1"/>
  <c r="H4417" i="1"/>
  <c r="I4417" i="1"/>
  <c r="J4417" i="1"/>
  <c r="M4417" i="1"/>
  <c r="A609" i="1"/>
  <c r="G609" i="1"/>
  <c r="H609" i="1"/>
  <c r="I609" i="1"/>
  <c r="J609" i="1"/>
  <c r="K609" i="1"/>
  <c r="M609" i="1"/>
  <c r="A4418" i="1"/>
  <c r="G4418" i="1"/>
  <c r="H4418" i="1"/>
  <c r="I4418" i="1"/>
  <c r="J4418" i="1"/>
  <c r="K4418" i="1"/>
  <c r="M4418" i="1"/>
  <c r="A3206" i="1"/>
  <c r="G3206" i="1"/>
  <c r="H3206" i="1"/>
  <c r="I3206" i="1"/>
  <c r="J3206" i="1"/>
  <c r="K3206" i="1"/>
  <c r="M3206" i="1"/>
  <c r="A2774" i="1"/>
  <c r="G2774" i="1"/>
  <c r="H2774" i="1"/>
  <c r="I2774" i="1"/>
  <c r="J2774" i="1"/>
  <c r="K2774" i="1"/>
  <c r="M2774" i="1"/>
  <c r="A3207" i="1"/>
  <c r="G3207" i="1"/>
  <c r="H3207" i="1"/>
  <c r="I3207" i="1"/>
  <c r="J3207" i="1"/>
  <c r="A4207" i="1"/>
  <c r="G4207" i="1"/>
  <c r="H4207" i="1"/>
  <c r="I4207" i="1"/>
  <c r="J4207" i="1"/>
  <c r="K4207" i="1"/>
  <c r="M4207" i="1"/>
  <c r="A610" i="1"/>
  <c r="G610" i="1"/>
  <c r="H610" i="1"/>
  <c r="I610" i="1"/>
  <c r="J610" i="1"/>
  <c r="K610" i="1"/>
  <c r="M610" i="1"/>
  <c r="A611" i="1"/>
  <c r="G611" i="1"/>
  <c r="H611" i="1"/>
  <c r="I611" i="1"/>
  <c r="J611" i="1"/>
  <c r="K611" i="1"/>
  <c r="M611" i="1"/>
  <c r="A612" i="1"/>
  <c r="G612" i="1"/>
  <c r="H612" i="1"/>
  <c r="I612" i="1"/>
  <c r="J612" i="1"/>
  <c r="K612" i="1"/>
  <c r="M612" i="1"/>
  <c r="A3208" i="1"/>
  <c r="G3208" i="1"/>
  <c r="H3208" i="1"/>
  <c r="I3208" i="1"/>
  <c r="J3208" i="1"/>
  <c r="K3208" i="1"/>
  <c r="M3208" i="1"/>
  <c r="A613" i="1"/>
  <c r="G613" i="1"/>
  <c r="H613" i="1"/>
  <c r="I613" i="1"/>
  <c r="J613" i="1"/>
  <c r="K613" i="1"/>
  <c r="M613" i="1"/>
  <c r="A614" i="1"/>
  <c r="G614" i="1"/>
  <c r="H614" i="1"/>
  <c r="I614" i="1"/>
  <c r="J614" i="1"/>
  <c r="K614" i="1"/>
  <c r="M614" i="1"/>
  <c r="A2080" i="1"/>
  <c r="G2080" i="1"/>
  <c r="H2080" i="1"/>
  <c r="I2080" i="1"/>
  <c r="J2080" i="1"/>
  <c r="K2080" i="1"/>
  <c r="M2080" i="1"/>
  <c r="A615" i="1"/>
  <c r="G615" i="1"/>
  <c r="H615" i="1"/>
  <c r="I615" i="1"/>
  <c r="J615" i="1"/>
  <c r="K615" i="1"/>
  <c r="M615" i="1"/>
  <c r="A4208" i="1"/>
  <c r="G4208" i="1"/>
  <c r="H4208" i="1"/>
  <c r="I4208" i="1"/>
  <c r="J4208" i="1"/>
  <c r="K4208" i="1"/>
  <c r="M4208" i="1"/>
  <c r="A2081" i="1"/>
  <c r="G2081" i="1"/>
  <c r="H2081" i="1"/>
  <c r="I2081" i="1"/>
  <c r="J2081" i="1"/>
  <c r="A4419" i="1"/>
  <c r="G4419" i="1"/>
  <c r="H4419" i="1"/>
  <c r="I4419" i="1"/>
  <c r="J4419" i="1"/>
  <c r="L4419" i="1"/>
  <c r="M4419" i="1"/>
  <c r="A4420" i="1"/>
  <c r="G4420" i="1"/>
  <c r="H4420" i="1"/>
  <c r="I4420" i="1"/>
  <c r="J4420" i="1"/>
  <c r="K4420" i="1"/>
  <c r="M4420" i="1"/>
  <c r="A616" i="1"/>
  <c r="G616" i="1"/>
  <c r="H616" i="1"/>
  <c r="I616" i="1"/>
  <c r="J616" i="1"/>
  <c r="K616" i="1"/>
  <c r="M616" i="1"/>
  <c r="A3209" i="1"/>
  <c r="G3209" i="1"/>
  <c r="H3209" i="1"/>
  <c r="I3209" i="1"/>
  <c r="J3209" i="1"/>
  <c r="K3209" i="1"/>
  <c r="M3209" i="1"/>
  <c r="A3210" i="1"/>
  <c r="G3210" i="1"/>
  <c r="H3210" i="1"/>
  <c r="I3210" i="1"/>
  <c r="J3210" i="1"/>
  <c r="K3210" i="1"/>
  <c r="M3210" i="1"/>
  <c r="A3211" i="1"/>
  <c r="G3211" i="1"/>
  <c r="H3211" i="1"/>
  <c r="I3211" i="1"/>
  <c r="J3211" i="1"/>
  <c r="K3211" i="1"/>
  <c r="M3211" i="1"/>
  <c r="A2082" i="1"/>
  <c r="G2082" i="1"/>
  <c r="H2082" i="1"/>
  <c r="I2082" i="1"/>
  <c r="J2082" i="1"/>
  <c r="A43" i="1"/>
  <c r="G43" i="1"/>
  <c r="H43" i="1"/>
  <c r="I43" i="1"/>
  <c r="J43" i="1"/>
  <c r="M43" i="1"/>
  <c r="A3212" i="1"/>
  <c r="G3212" i="1"/>
  <c r="H3212" i="1"/>
  <c r="I3212" i="1"/>
  <c r="J3212" i="1"/>
  <c r="K3212" i="1"/>
  <c r="M3212" i="1"/>
  <c r="A3213" i="1"/>
  <c r="G3213" i="1"/>
  <c r="H3213" i="1"/>
  <c r="I3213" i="1"/>
  <c r="J3213" i="1"/>
  <c r="K3213" i="1"/>
  <c r="M3213" i="1"/>
  <c r="A2083" i="1"/>
  <c r="G2083" i="1"/>
  <c r="H2083" i="1"/>
  <c r="I2083" i="1"/>
  <c r="J2083" i="1"/>
  <c r="K2083" i="1"/>
  <c r="M2083" i="1"/>
  <c r="A4670" i="1"/>
  <c r="G4670" i="1"/>
  <c r="H4670" i="1"/>
  <c r="I4670" i="1"/>
  <c r="J4670" i="1"/>
  <c r="M4670" i="1"/>
  <c r="A3214" i="1"/>
  <c r="G3214" i="1"/>
  <c r="H3214" i="1"/>
  <c r="I3214" i="1"/>
  <c r="J3214" i="1"/>
  <c r="K3214" i="1"/>
  <c r="M3214" i="1"/>
  <c r="A617" i="1"/>
  <c r="G617" i="1"/>
  <c r="H617" i="1"/>
  <c r="I617" i="1"/>
  <c r="J617" i="1"/>
  <c r="M617" i="1"/>
  <c r="A3215" i="1"/>
  <c r="G3215" i="1"/>
  <c r="H3215" i="1"/>
  <c r="I3215" i="1"/>
  <c r="J3215" i="1"/>
  <c r="K3215" i="1"/>
  <c r="M3215" i="1"/>
  <c r="A3216" i="1"/>
  <c r="G3216" i="1"/>
  <c r="H3216" i="1"/>
  <c r="I3216" i="1"/>
  <c r="J3216" i="1"/>
  <c r="K3216" i="1"/>
  <c r="M3216" i="1"/>
  <c r="A3217" i="1"/>
  <c r="G3217" i="1"/>
  <c r="H3217" i="1"/>
  <c r="I3217" i="1"/>
  <c r="J3217" i="1"/>
  <c r="A618" i="1"/>
  <c r="G618" i="1"/>
  <c r="H618" i="1"/>
  <c r="I618" i="1"/>
  <c r="J618" i="1"/>
  <c r="K618" i="1"/>
  <c r="M618" i="1"/>
  <c r="A4421" i="1"/>
  <c r="G4421" i="1"/>
  <c r="H4421" i="1"/>
  <c r="I4421" i="1"/>
  <c r="J4421" i="1"/>
  <c r="M4421" i="1"/>
  <c r="A4209" i="1"/>
  <c r="G4209" i="1"/>
  <c r="H4209" i="1"/>
  <c r="I4209" i="1"/>
  <c r="J4209" i="1"/>
  <c r="K4209" i="1"/>
  <c r="M4209" i="1"/>
  <c r="A619" i="1"/>
  <c r="G619" i="1"/>
  <c r="H619" i="1"/>
  <c r="I619" i="1"/>
  <c r="J619" i="1"/>
  <c r="K619" i="1"/>
  <c r="M619" i="1"/>
  <c r="A620" i="1"/>
  <c r="G620" i="1"/>
  <c r="H620" i="1"/>
  <c r="I620" i="1"/>
  <c r="J620" i="1"/>
  <c r="K620" i="1"/>
  <c r="M620" i="1"/>
  <c r="A621" i="1"/>
  <c r="G621" i="1"/>
  <c r="H621" i="1"/>
  <c r="I621" i="1"/>
  <c r="J621" i="1"/>
  <c r="K621" i="1"/>
  <c r="M621" i="1"/>
  <c r="A622" i="1"/>
  <c r="G622" i="1"/>
  <c r="H622" i="1"/>
  <c r="I622" i="1"/>
  <c r="J622" i="1"/>
  <c r="K622" i="1"/>
  <c r="M622" i="1"/>
  <c r="A623" i="1"/>
  <c r="G623" i="1"/>
  <c r="H623" i="1"/>
  <c r="I623" i="1"/>
  <c r="J623" i="1"/>
  <c r="M623" i="1"/>
  <c r="A2084" i="1"/>
  <c r="G2084" i="1"/>
  <c r="H2084" i="1"/>
  <c r="I2084" i="1"/>
  <c r="J2084" i="1"/>
  <c r="A3218" i="1"/>
  <c r="G3218" i="1"/>
  <c r="H3218" i="1"/>
  <c r="I3218" i="1"/>
  <c r="J3218" i="1"/>
  <c r="K3218" i="1"/>
  <c r="M3218" i="1"/>
  <c r="A4304" i="1"/>
  <c r="G4304" i="1"/>
  <c r="H4304" i="1"/>
  <c r="I4304" i="1"/>
  <c r="J4304" i="1"/>
  <c r="K4304" i="1"/>
  <c r="M4304" i="1"/>
  <c r="A3219" i="1"/>
  <c r="G3219" i="1"/>
  <c r="H3219" i="1"/>
  <c r="I3219" i="1"/>
  <c r="J3219" i="1"/>
  <c r="K3219" i="1"/>
  <c r="M3219" i="1"/>
  <c r="A4422" i="1"/>
  <c r="G4422" i="1"/>
  <c r="H4422" i="1"/>
  <c r="I4422" i="1"/>
  <c r="J4422" i="1"/>
  <c r="K4422" i="1"/>
  <c r="M4422" i="1"/>
  <c r="A624" i="1"/>
  <c r="G624" i="1"/>
  <c r="H624" i="1"/>
  <c r="I624" i="1"/>
  <c r="J624" i="1"/>
  <c r="M624" i="1"/>
  <c r="A2085" i="1"/>
  <c r="G2085" i="1"/>
  <c r="H2085" i="1"/>
  <c r="I2085" i="1"/>
  <c r="J2085" i="1"/>
  <c r="K2085" i="1"/>
  <c r="M2085" i="1"/>
  <c r="A2086" i="1"/>
  <c r="G2086" i="1"/>
  <c r="H2086" i="1"/>
  <c r="I2086" i="1"/>
  <c r="J2086" i="1"/>
  <c r="A2087" i="1"/>
  <c r="G2087" i="1"/>
  <c r="H2087" i="1"/>
  <c r="I2087" i="1"/>
  <c r="J2087" i="1"/>
  <c r="A625" i="1"/>
  <c r="G625" i="1"/>
  <c r="H625" i="1"/>
  <c r="I625" i="1"/>
  <c r="J625" i="1"/>
  <c r="K625" i="1"/>
  <c r="M625" i="1"/>
  <c r="A3220" i="1"/>
  <c r="G3220" i="1"/>
  <c r="H3220" i="1"/>
  <c r="I3220" i="1"/>
  <c r="J3220" i="1"/>
  <c r="K3220" i="1"/>
  <c r="M3220" i="1"/>
  <c r="A2088" i="1"/>
  <c r="G2088" i="1"/>
  <c r="H2088" i="1"/>
  <c r="I2088" i="1"/>
  <c r="J2088" i="1"/>
  <c r="A626" i="1"/>
  <c r="G626" i="1"/>
  <c r="H626" i="1"/>
  <c r="I626" i="1"/>
  <c r="J626" i="1"/>
  <c r="K626" i="1"/>
  <c r="M626" i="1"/>
  <c r="A627" i="1"/>
  <c r="G627" i="1"/>
  <c r="H627" i="1"/>
  <c r="I627" i="1"/>
  <c r="J627" i="1"/>
  <c r="K627" i="1"/>
  <c r="M627" i="1"/>
  <c r="A3221" i="1"/>
  <c r="G3221" i="1"/>
  <c r="H3221" i="1"/>
  <c r="I3221" i="1"/>
  <c r="J3221" i="1"/>
  <c r="K3221" i="1"/>
  <c r="M3221" i="1"/>
  <c r="A628" i="1"/>
  <c r="G628" i="1"/>
  <c r="H628" i="1"/>
  <c r="I628" i="1"/>
  <c r="J628" i="1"/>
  <c r="M628" i="1"/>
  <c r="A2089" i="1"/>
  <c r="G2089" i="1"/>
  <c r="H2089" i="1"/>
  <c r="I2089" i="1"/>
  <c r="J2089" i="1"/>
  <c r="K2089" i="1"/>
  <c r="M2089" i="1"/>
  <c r="A2090" i="1"/>
  <c r="G2090" i="1"/>
  <c r="H2090" i="1"/>
  <c r="I2090" i="1"/>
  <c r="J2090" i="1"/>
  <c r="M2090" i="1"/>
  <c r="A4210" i="1"/>
  <c r="G4210" i="1"/>
  <c r="H4210" i="1"/>
  <c r="I4210" i="1"/>
  <c r="J4210" i="1"/>
  <c r="A44" i="1"/>
  <c r="G44" i="1"/>
  <c r="H44" i="1"/>
  <c r="I44" i="1"/>
  <c r="J44" i="1"/>
  <c r="K44" i="1"/>
  <c r="M44" i="1"/>
  <c r="A3222" i="1"/>
  <c r="G3222" i="1"/>
  <c r="H3222" i="1"/>
  <c r="I3222" i="1"/>
  <c r="J3222" i="1"/>
  <c r="K3222" i="1"/>
  <c r="M3222" i="1"/>
  <c r="A3223" i="1"/>
  <c r="G3223" i="1"/>
  <c r="H3223" i="1"/>
  <c r="I3223" i="1"/>
  <c r="J3223" i="1"/>
  <c r="A2091" i="1"/>
  <c r="G2091" i="1"/>
  <c r="H2091" i="1"/>
  <c r="I2091" i="1"/>
  <c r="J2091" i="1"/>
  <c r="K2091" i="1"/>
  <c r="M2091" i="1"/>
  <c r="A4211" i="1"/>
  <c r="G4211" i="1"/>
  <c r="H4211" i="1"/>
  <c r="I4211" i="1"/>
  <c r="J4211" i="1"/>
  <c r="K4211" i="1"/>
  <c r="M4211" i="1"/>
  <c r="A2092" i="1"/>
  <c r="G2092" i="1"/>
  <c r="H2092" i="1"/>
  <c r="I2092" i="1"/>
  <c r="J2092" i="1"/>
  <c r="A3224" i="1"/>
  <c r="G3224" i="1"/>
  <c r="H3224" i="1"/>
  <c r="I3224" i="1"/>
  <c r="J3224" i="1"/>
  <c r="A3225" i="1"/>
  <c r="G3225" i="1"/>
  <c r="H3225" i="1"/>
  <c r="I3225" i="1"/>
  <c r="J3225" i="1"/>
  <c r="K3225" i="1"/>
  <c r="M3225" i="1"/>
  <c r="A3226" i="1"/>
  <c r="G3226" i="1"/>
  <c r="H3226" i="1"/>
  <c r="I3226" i="1"/>
  <c r="J3226" i="1"/>
  <c r="K3226" i="1"/>
  <c r="M3226" i="1"/>
  <c r="A3227" i="1"/>
  <c r="G3227" i="1"/>
  <c r="H3227" i="1"/>
  <c r="I3227" i="1"/>
  <c r="J3227" i="1"/>
  <c r="K3227" i="1"/>
  <c r="M3227" i="1"/>
  <c r="A3228" i="1"/>
  <c r="G3228" i="1"/>
  <c r="H3228" i="1"/>
  <c r="I3228" i="1"/>
  <c r="J3228" i="1"/>
  <c r="K3228" i="1"/>
  <c r="M3228" i="1"/>
  <c r="A45" i="1"/>
  <c r="G45" i="1"/>
  <c r="H45" i="1"/>
  <c r="I45" i="1"/>
  <c r="J45" i="1"/>
  <c r="A3229" i="1"/>
  <c r="G3229" i="1"/>
  <c r="H3229" i="1"/>
  <c r="I3229" i="1"/>
  <c r="J3229" i="1"/>
  <c r="A629" i="1"/>
  <c r="G629" i="1"/>
  <c r="H629" i="1"/>
  <c r="I629" i="1"/>
  <c r="J629" i="1"/>
  <c r="L629" i="1"/>
  <c r="M629" i="1"/>
  <c r="A630" i="1"/>
  <c r="G630" i="1"/>
  <c r="H630" i="1"/>
  <c r="I630" i="1"/>
  <c r="J630" i="1"/>
  <c r="K630" i="1"/>
  <c r="M630" i="1"/>
  <c r="A631" i="1"/>
  <c r="G631" i="1"/>
  <c r="H631" i="1"/>
  <c r="I631" i="1"/>
  <c r="J631" i="1"/>
  <c r="K631" i="1"/>
  <c r="M631" i="1"/>
  <c r="A632" i="1"/>
  <c r="G632" i="1"/>
  <c r="H632" i="1"/>
  <c r="I632" i="1"/>
  <c r="J632" i="1"/>
  <c r="K632" i="1"/>
  <c r="M632" i="1"/>
  <c r="A2093" i="1"/>
  <c r="G2093" i="1"/>
  <c r="H2093" i="1"/>
  <c r="I2093" i="1"/>
  <c r="J2093" i="1"/>
  <c r="K2093" i="1"/>
  <c r="M2093" i="1"/>
  <c r="A633" i="1"/>
  <c r="G633" i="1"/>
  <c r="H633" i="1"/>
  <c r="I633" i="1"/>
  <c r="J633" i="1"/>
  <c r="K633" i="1"/>
  <c r="M633" i="1"/>
  <c r="A4671" i="1"/>
  <c r="G4671" i="1"/>
  <c r="H4671" i="1"/>
  <c r="I4671" i="1"/>
  <c r="J4671" i="1"/>
  <c r="M4671" i="1"/>
  <c r="A634" i="1"/>
  <c r="G634" i="1"/>
  <c r="H634" i="1"/>
  <c r="I634" i="1"/>
  <c r="J634" i="1"/>
  <c r="K634" i="1"/>
  <c r="M634" i="1"/>
  <c r="A635" i="1"/>
  <c r="G635" i="1"/>
  <c r="H635" i="1"/>
  <c r="I635" i="1"/>
  <c r="J635" i="1"/>
  <c r="M635" i="1"/>
  <c r="A636" i="1"/>
  <c r="G636" i="1"/>
  <c r="H636" i="1"/>
  <c r="I636" i="1"/>
  <c r="J636" i="1"/>
  <c r="K636" i="1"/>
  <c r="M636" i="1"/>
  <c r="A2094" i="1"/>
  <c r="G2094" i="1"/>
  <c r="H2094" i="1"/>
  <c r="I2094" i="1"/>
  <c r="J2094" i="1"/>
  <c r="K2094" i="1"/>
  <c r="M2094" i="1"/>
  <c r="A3230" i="1"/>
  <c r="G3230" i="1"/>
  <c r="H3230" i="1"/>
  <c r="I3230" i="1"/>
  <c r="J3230" i="1"/>
  <c r="K3230" i="1"/>
  <c r="M3230" i="1"/>
  <c r="A637" i="1"/>
  <c r="G637" i="1"/>
  <c r="H637" i="1"/>
  <c r="I637" i="1"/>
  <c r="J637" i="1"/>
  <c r="K637" i="1"/>
  <c r="M637" i="1"/>
  <c r="A3231" i="1"/>
  <c r="G3231" i="1"/>
  <c r="H3231" i="1"/>
  <c r="I3231" i="1"/>
  <c r="J3231" i="1"/>
  <c r="K3231" i="1"/>
  <c r="M3231" i="1"/>
  <c r="A3232" i="1"/>
  <c r="G3232" i="1"/>
  <c r="H3232" i="1"/>
  <c r="I3232" i="1"/>
  <c r="J3232" i="1"/>
  <c r="K3232" i="1"/>
  <c r="M3232" i="1"/>
  <c r="A638" i="1"/>
  <c r="G638" i="1"/>
  <c r="H638" i="1"/>
  <c r="I638" i="1"/>
  <c r="J638" i="1"/>
  <c r="K638" i="1"/>
  <c r="M638" i="1"/>
  <c r="A3233" i="1"/>
  <c r="G3233" i="1"/>
  <c r="H3233" i="1"/>
  <c r="I3233" i="1"/>
  <c r="J3233" i="1"/>
  <c r="A639" i="1"/>
  <c r="G639" i="1"/>
  <c r="H639" i="1"/>
  <c r="I639" i="1"/>
  <c r="J639" i="1"/>
  <c r="K639" i="1"/>
  <c r="M639" i="1"/>
  <c r="A3234" i="1"/>
  <c r="G3234" i="1"/>
  <c r="H3234" i="1"/>
  <c r="I3234" i="1"/>
  <c r="J3234" i="1"/>
  <c r="A640" i="1"/>
  <c r="G640" i="1"/>
  <c r="H640" i="1"/>
  <c r="I640" i="1"/>
  <c r="J640" i="1"/>
  <c r="K640" i="1"/>
  <c r="M640" i="1"/>
  <c r="A4672" i="1"/>
  <c r="G4672" i="1"/>
  <c r="H4672" i="1"/>
  <c r="I4672" i="1"/>
  <c r="J4672" i="1"/>
  <c r="M4672" i="1"/>
  <c r="A3235" i="1"/>
  <c r="G3235" i="1"/>
  <c r="H3235" i="1"/>
  <c r="I3235" i="1"/>
  <c r="J3235" i="1"/>
  <c r="K3235" i="1"/>
  <c r="M3235" i="1"/>
  <c r="A641" i="1"/>
  <c r="G641" i="1"/>
  <c r="H641" i="1"/>
  <c r="I641" i="1"/>
  <c r="J641" i="1"/>
  <c r="K641" i="1"/>
  <c r="M641" i="1"/>
  <c r="A3236" i="1"/>
  <c r="G3236" i="1"/>
  <c r="H3236" i="1"/>
  <c r="I3236" i="1"/>
  <c r="J3236" i="1"/>
  <c r="A642" i="1"/>
  <c r="G642" i="1"/>
  <c r="H642" i="1"/>
  <c r="I642" i="1"/>
  <c r="J642" i="1"/>
  <c r="K642" i="1"/>
  <c r="M642" i="1"/>
  <c r="A643" i="1"/>
  <c r="G643" i="1"/>
  <c r="H643" i="1"/>
  <c r="I643" i="1"/>
  <c r="J643" i="1"/>
  <c r="K643" i="1"/>
  <c r="M643" i="1"/>
  <c r="A644" i="1"/>
  <c r="G644" i="1"/>
  <c r="H644" i="1"/>
  <c r="I644" i="1"/>
  <c r="J644" i="1"/>
  <c r="K644" i="1"/>
  <c r="M644" i="1"/>
  <c r="A46" i="1"/>
  <c r="G46" i="1"/>
  <c r="H46" i="1"/>
  <c r="I46" i="1"/>
  <c r="J46" i="1"/>
  <c r="A4423" i="1"/>
  <c r="G4423" i="1"/>
  <c r="H4423" i="1"/>
  <c r="I4423" i="1"/>
  <c r="J4423" i="1"/>
  <c r="K4423" i="1"/>
  <c r="M4423" i="1"/>
  <c r="A2095" i="1"/>
  <c r="G2095" i="1"/>
  <c r="H2095" i="1"/>
  <c r="I2095" i="1"/>
  <c r="J2095" i="1"/>
  <c r="K2095" i="1"/>
  <c r="M2095" i="1"/>
  <c r="A4424" i="1"/>
  <c r="G4424" i="1"/>
  <c r="H4424" i="1"/>
  <c r="I4424" i="1"/>
  <c r="J4424" i="1"/>
  <c r="K4424" i="1"/>
  <c r="M4424" i="1"/>
  <c r="A3237" i="1"/>
  <c r="G3237" i="1"/>
  <c r="H3237" i="1"/>
  <c r="I3237" i="1"/>
  <c r="J3237" i="1"/>
  <c r="K3237" i="1"/>
  <c r="M3237" i="1"/>
  <c r="A645" i="1"/>
  <c r="G645" i="1"/>
  <c r="H645" i="1"/>
  <c r="I645" i="1"/>
  <c r="J645" i="1"/>
  <c r="K645" i="1"/>
  <c r="M645" i="1"/>
  <c r="A3238" i="1"/>
  <c r="G3238" i="1"/>
  <c r="H3238" i="1"/>
  <c r="I3238" i="1"/>
  <c r="J3238" i="1"/>
  <c r="A646" i="1"/>
  <c r="G646" i="1"/>
  <c r="H646" i="1"/>
  <c r="I646" i="1"/>
  <c r="J646" i="1"/>
  <c r="M646" i="1"/>
  <c r="A647" i="1"/>
  <c r="G647" i="1"/>
  <c r="H647" i="1"/>
  <c r="I647" i="1"/>
  <c r="J647" i="1"/>
  <c r="K647" i="1"/>
  <c r="M647" i="1"/>
  <c r="A648" i="1"/>
  <c r="G648" i="1"/>
  <c r="H648" i="1"/>
  <c r="I648" i="1"/>
  <c r="J648" i="1"/>
  <c r="K648" i="1"/>
  <c r="M648" i="1"/>
  <c r="A4673" i="1"/>
  <c r="G4673" i="1"/>
  <c r="H4673" i="1"/>
  <c r="I4673" i="1"/>
  <c r="J4673" i="1"/>
  <c r="M4673" i="1"/>
  <c r="A649" i="1"/>
  <c r="G649" i="1"/>
  <c r="H649" i="1"/>
  <c r="I649" i="1"/>
  <c r="J649" i="1"/>
  <c r="K649" i="1"/>
  <c r="M649" i="1"/>
  <c r="A650" i="1"/>
  <c r="G650" i="1"/>
  <c r="H650" i="1"/>
  <c r="I650" i="1"/>
  <c r="J650" i="1"/>
  <c r="L650" i="1"/>
  <c r="M650" i="1"/>
  <c r="A4674" i="1"/>
  <c r="G4674" i="1"/>
  <c r="H4674" i="1"/>
  <c r="I4674" i="1"/>
  <c r="J4674" i="1"/>
  <c r="M4674" i="1"/>
  <c r="A3239" i="1"/>
  <c r="G3239" i="1"/>
  <c r="H3239" i="1"/>
  <c r="I3239" i="1"/>
  <c r="J3239" i="1"/>
  <c r="K3239" i="1"/>
  <c r="M3239" i="1"/>
  <c r="A3240" i="1"/>
  <c r="G3240" i="1"/>
  <c r="H3240" i="1"/>
  <c r="I3240" i="1"/>
  <c r="J3240" i="1"/>
  <c r="A2096" i="1"/>
  <c r="G2096" i="1"/>
  <c r="H2096" i="1"/>
  <c r="I2096" i="1"/>
  <c r="J2096" i="1"/>
  <c r="K2096" i="1"/>
  <c r="M2096" i="1"/>
  <c r="A651" i="1"/>
  <c r="G651" i="1"/>
  <c r="H651" i="1"/>
  <c r="I651" i="1"/>
  <c r="J651" i="1"/>
  <c r="K651" i="1"/>
  <c r="M651" i="1"/>
  <c r="A4155" i="1"/>
  <c r="G4155" i="1"/>
  <c r="H4155" i="1"/>
  <c r="I4155" i="1"/>
  <c r="J4155" i="1"/>
  <c r="A652" i="1"/>
  <c r="G652" i="1"/>
  <c r="H652" i="1"/>
  <c r="I652" i="1"/>
  <c r="J652" i="1"/>
  <c r="M652" i="1"/>
  <c r="A4425" i="1"/>
  <c r="G4425" i="1"/>
  <c r="H4425" i="1"/>
  <c r="I4425" i="1"/>
  <c r="J4425" i="1"/>
  <c r="K4425" i="1"/>
  <c r="M4425" i="1"/>
  <c r="A653" i="1"/>
  <c r="G653" i="1"/>
  <c r="H653" i="1"/>
  <c r="I653" i="1"/>
  <c r="J653" i="1"/>
  <c r="K653" i="1"/>
  <c r="M653" i="1"/>
  <c r="A654" i="1"/>
  <c r="G654" i="1"/>
  <c r="H654" i="1"/>
  <c r="I654" i="1"/>
  <c r="J654" i="1"/>
  <c r="M654" i="1"/>
  <c r="A4212" i="1"/>
  <c r="G4212" i="1"/>
  <c r="H4212" i="1"/>
  <c r="I4212" i="1"/>
  <c r="J4212" i="1"/>
  <c r="K4212" i="1"/>
  <c r="M4212" i="1"/>
  <c r="A655" i="1"/>
  <c r="G655" i="1"/>
  <c r="H655" i="1"/>
  <c r="I655" i="1"/>
  <c r="J655" i="1"/>
  <c r="K655" i="1"/>
  <c r="M655" i="1"/>
  <c r="A3241" i="1"/>
  <c r="G3241" i="1"/>
  <c r="H3241" i="1"/>
  <c r="I3241" i="1"/>
  <c r="J3241" i="1"/>
  <c r="A656" i="1"/>
  <c r="G656" i="1"/>
  <c r="H656" i="1"/>
  <c r="I656" i="1"/>
  <c r="J656" i="1"/>
  <c r="K656" i="1"/>
  <c r="M656" i="1"/>
  <c r="A657" i="1"/>
  <c r="G657" i="1"/>
  <c r="H657" i="1"/>
  <c r="I657" i="1"/>
  <c r="J657" i="1"/>
  <c r="K657" i="1"/>
  <c r="M657" i="1"/>
  <c r="A4675" i="1"/>
  <c r="G4675" i="1"/>
  <c r="H4675" i="1"/>
  <c r="I4675" i="1"/>
  <c r="J4675" i="1"/>
  <c r="M4675" i="1"/>
  <c r="A3242" i="1"/>
  <c r="G3242" i="1"/>
  <c r="H3242" i="1"/>
  <c r="I3242" i="1"/>
  <c r="J3242" i="1"/>
  <c r="K3242" i="1"/>
  <c r="M3242" i="1"/>
  <c r="A658" i="1"/>
  <c r="G658" i="1"/>
  <c r="H658" i="1"/>
  <c r="I658" i="1"/>
  <c r="J658" i="1"/>
  <c r="K658" i="1"/>
  <c r="M658" i="1"/>
  <c r="A2097" i="1"/>
  <c r="G2097" i="1"/>
  <c r="H2097" i="1"/>
  <c r="I2097" i="1"/>
  <c r="J2097" i="1"/>
  <c r="K2097" i="1"/>
  <c r="M2097" i="1"/>
  <c r="A659" i="1"/>
  <c r="G659" i="1"/>
  <c r="H659" i="1"/>
  <c r="I659" i="1"/>
  <c r="J659" i="1"/>
  <c r="K659" i="1"/>
  <c r="M659" i="1"/>
  <c r="A660" i="1"/>
  <c r="G660" i="1"/>
  <c r="H660" i="1"/>
  <c r="I660" i="1"/>
  <c r="J660" i="1"/>
  <c r="K660" i="1"/>
  <c r="M660" i="1"/>
  <c r="A3243" i="1"/>
  <c r="G3243" i="1"/>
  <c r="H3243" i="1"/>
  <c r="I3243" i="1"/>
  <c r="J3243" i="1"/>
  <c r="K3243" i="1"/>
  <c r="M3243" i="1"/>
  <c r="A661" i="1"/>
  <c r="G661" i="1"/>
  <c r="H661" i="1"/>
  <c r="I661" i="1"/>
  <c r="J661" i="1"/>
  <c r="K661" i="1"/>
  <c r="M661" i="1"/>
  <c r="A4426" i="1"/>
  <c r="G4426" i="1"/>
  <c r="H4426" i="1"/>
  <c r="I4426" i="1"/>
  <c r="J4426" i="1"/>
  <c r="K4426" i="1"/>
  <c r="M4426" i="1"/>
  <c r="A662" i="1"/>
  <c r="G662" i="1"/>
  <c r="H662" i="1"/>
  <c r="I662" i="1"/>
  <c r="J662" i="1"/>
  <c r="K662" i="1"/>
  <c r="M662" i="1"/>
  <c r="A2098" i="1"/>
  <c r="G2098" i="1"/>
  <c r="H2098" i="1"/>
  <c r="I2098" i="1"/>
  <c r="J2098" i="1"/>
  <c r="A4427" i="1"/>
  <c r="G4427" i="1"/>
  <c r="H4427" i="1"/>
  <c r="I4427" i="1"/>
  <c r="J4427" i="1"/>
  <c r="K4427" i="1"/>
  <c r="M4427" i="1"/>
  <c r="A2099" i="1"/>
  <c r="G2099" i="1"/>
  <c r="H2099" i="1"/>
  <c r="I2099" i="1"/>
  <c r="J2099" i="1"/>
  <c r="K2099" i="1"/>
  <c r="M2099" i="1"/>
  <c r="A3244" i="1"/>
  <c r="G3244" i="1"/>
  <c r="H3244" i="1"/>
  <c r="I3244" i="1"/>
  <c r="J3244" i="1"/>
  <c r="K3244" i="1"/>
  <c r="M3244" i="1"/>
  <c r="A3245" i="1"/>
  <c r="G3245" i="1"/>
  <c r="H3245" i="1"/>
  <c r="I3245" i="1"/>
  <c r="J3245" i="1"/>
  <c r="A663" i="1"/>
  <c r="G663" i="1"/>
  <c r="H663" i="1"/>
  <c r="I663" i="1"/>
  <c r="J663" i="1"/>
  <c r="K663" i="1"/>
  <c r="M663" i="1"/>
  <c r="A2100" i="1"/>
  <c r="G2100" i="1"/>
  <c r="H2100" i="1"/>
  <c r="I2100" i="1"/>
  <c r="J2100" i="1"/>
  <c r="K2100" i="1"/>
  <c r="M2100" i="1"/>
  <c r="A664" i="1"/>
  <c r="G664" i="1"/>
  <c r="H664" i="1"/>
  <c r="I664" i="1"/>
  <c r="J664" i="1"/>
  <c r="L664" i="1"/>
  <c r="M664" i="1"/>
  <c r="A665" i="1"/>
  <c r="G665" i="1"/>
  <c r="H665" i="1"/>
  <c r="I665" i="1"/>
  <c r="J665" i="1"/>
  <c r="K665" i="1"/>
  <c r="M665" i="1"/>
  <c r="A2101" i="1"/>
  <c r="G2101" i="1"/>
  <c r="H2101" i="1"/>
  <c r="I2101" i="1"/>
  <c r="J2101" i="1"/>
  <c r="K2101" i="1"/>
  <c r="M2101" i="1"/>
  <c r="A2102" i="1"/>
  <c r="G2102" i="1"/>
  <c r="H2102" i="1"/>
  <c r="I2102" i="1"/>
  <c r="J2102" i="1"/>
  <c r="K2102" i="1"/>
  <c r="M2102" i="1"/>
  <c r="A666" i="1"/>
  <c r="G666" i="1"/>
  <c r="H666" i="1"/>
  <c r="I666" i="1"/>
  <c r="J666" i="1"/>
  <c r="M666" i="1"/>
  <c r="A667" i="1"/>
  <c r="G667" i="1"/>
  <c r="H667" i="1"/>
  <c r="I667" i="1"/>
  <c r="J667" i="1"/>
  <c r="K667" i="1"/>
  <c r="M667" i="1"/>
  <c r="A47" i="1"/>
  <c r="G47" i="1"/>
  <c r="H47" i="1"/>
  <c r="I47" i="1"/>
  <c r="J47" i="1"/>
  <c r="K47" i="1"/>
  <c r="M47" i="1"/>
  <c r="A3246" i="1"/>
  <c r="G3246" i="1"/>
  <c r="H3246" i="1"/>
  <c r="I3246" i="1"/>
  <c r="J3246" i="1"/>
  <c r="A2103" i="1"/>
  <c r="G2103" i="1"/>
  <c r="H2103" i="1"/>
  <c r="I2103" i="1"/>
  <c r="J2103" i="1"/>
  <c r="A2104" i="1"/>
  <c r="G2104" i="1"/>
  <c r="H2104" i="1"/>
  <c r="I2104" i="1"/>
  <c r="J2104" i="1"/>
  <c r="K2104" i="1"/>
  <c r="M2104" i="1"/>
  <c r="A668" i="1"/>
  <c r="G668" i="1"/>
  <c r="H668" i="1"/>
  <c r="I668" i="1"/>
  <c r="J668" i="1"/>
  <c r="M668" i="1"/>
  <c r="A669" i="1"/>
  <c r="G669" i="1"/>
  <c r="H669" i="1"/>
  <c r="I669" i="1"/>
  <c r="J669" i="1"/>
  <c r="K669" i="1"/>
  <c r="M669" i="1"/>
  <c r="A670" i="1"/>
  <c r="G670" i="1"/>
  <c r="H670" i="1"/>
  <c r="I670" i="1"/>
  <c r="J670" i="1"/>
  <c r="L670" i="1"/>
  <c r="M670" i="1"/>
  <c r="A671" i="1"/>
  <c r="G671" i="1"/>
  <c r="H671" i="1"/>
  <c r="I671" i="1"/>
  <c r="J671" i="1"/>
  <c r="K671" i="1"/>
  <c r="M671" i="1"/>
  <c r="A48" i="1"/>
  <c r="G48" i="1"/>
  <c r="H48" i="1"/>
  <c r="I48" i="1"/>
  <c r="J48" i="1"/>
  <c r="K48" i="1"/>
  <c r="M48" i="1"/>
  <c r="A672" i="1"/>
  <c r="G672" i="1"/>
  <c r="H672" i="1"/>
  <c r="I672" i="1"/>
  <c r="J672" i="1"/>
  <c r="K672" i="1"/>
  <c r="M672" i="1"/>
  <c r="A2105" i="1"/>
  <c r="G2105" i="1"/>
  <c r="H2105" i="1"/>
  <c r="I2105" i="1"/>
  <c r="J2105" i="1"/>
  <c r="A3247" i="1"/>
  <c r="G3247" i="1"/>
  <c r="H3247" i="1"/>
  <c r="I3247" i="1"/>
  <c r="J3247" i="1"/>
  <c r="A49" i="1"/>
  <c r="G49" i="1"/>
  <c r="H49" i="1"/>
  <c r="I49" i="1"/>
  <c r="J49" i="1"/>
  <c r="K49" i="1"/>
  <c r="M49" i="1"/>
  <c r="A2106" i="1"/>
  <c r="G2106" i="1"/>
  <c r="H2106" i="1"/>
  <c r="I2106" i="1"/>
  <c r="J2106" i="1"/>
  <c r="A4325" i="1"/>
  <c r="G4325" i="1"/>
  <c r="H4325" i="1"/>
  <c r="I4325" i="1"/>
  <c r="J4325" i="1"/>
  <c r="A3248" i="1"/>
  <c r="G3248" i="1"/>
  <c r="H3248" i="1"/>
  <c r="I3248" i="1"/>
  <c r="J3248" i="1"/>
  <c r="A3249" i="1"/>
  <c r="G3249" i="1"/>
  <c r="H3249" i="1"/>
  <c r="I3249" i="1"/>
  <c r="J3249" i="1"/>
  <c r="A3250" i="1"/>
  <c r="G3250" i="1"/>
  <c r="H3250" i="1"/>
  <c r="I3250" i="1"/>
  <c r="J3250" i="1"/>
  <c r="A4213" i="1"/>
  <c r="G4213" i="1"/>
  <c r="H4213" i="1"/>
  <c r="I4213" i="1"/>
  <c r="J4213" i="1"/>
  <c r="K4213" i="1"/>
  <c r="M4213" i="1"/>
  <c r="A4156" i="1"/>
  <c r="G4156" i="1"/>
  <c r="H4156" i="1"/>
  <c r="I4156" i="1"/>
  <c r="J4156" i="1"/>
  <c r="K4156" i="1"/>
  <c r="M4156" i="1"/>
  <c r="A673" i="1"/>
  <c r="G673" i="1"/>
  <c r="H673" i="1"/>
  <c r="I673" i="1"/>
  <c r="J673" i="1"/>
  <c r="M673" i="1"/>
  <c r="A3251" i="1"/>
  <c r="G3251" i="1"/>
  <c r="H3251" i="1"/>
  <c r="I3251" i="1"/>
  <c r="J3251" i="1"/>
  <c r="A2107" i="1"/>
  <c r="G2107" i="1"/>
  <c r="H2107" i="1"/>
  <c r="I2107" i="1"/>
  <c r="J2107" i="1"/>
  <c r="K2107" i="1"/>
  <c r="M2107" i="1"/>
  <c r="A674" i="1"/>
  <c r="G674" i="1"/>
  <c r="H674" i="1"/>
  <c r="I674" i="1"/>
  <c r="J674" i="1"/>
  <c r="M674" i="1"/>
  <c r="A675" i="1"/>
  <c r="G675" i="1"/>
  <c r="H675" i="1"/>
  <c r="I675" i="1"/>
  <c r="J675" i="1"/>
  <c r="K675" i="1"/>
  <c r="M675" i="1"/>
  <c r="A676" i="1"/>
  <c r="G676" i="1"/>
  <c r="H676" i="1"/>
  <c r="I676" i="1"/>
  <c r="J676" i="1"/>
  <c r="M676" i="1"/>
  <c r="A4676" i="1"/>
  <c r="G4676" i="1"/>
  <c r="H4676" i="1"/>
  <c r="I4676" i="1"/>
  <c r="J4676" i="1"/>
  <c r="M4676" i="1"/>
  <c r="A4677" i="1"/>
  <c r="G4677" i="1"/>
  <c r="H4677" i="1"/>
  <c r="I4677" i="1"/>
  <c r="J4677" i="1"/>
  <c r="M4677" i="1"/>
  <c r="A2108" i="1"/>
  <c r="G2108" i="1"/>
  <c r="H2108" i="1"/>
  <c r="I2108" i="1"/>
  <c r="J2108" i="1"/>
  <c r="K2108" i="1"/>
  <c r="M2108" i="1"/>
  <c r="A677" i="1"/>
  <c r="G677" i="1"/>
  <c r="H677" i="1"/>
  <c r="I677" i="1"/>
  <c r="J677" i="1"/>
  <c r="K677" i="1"/>
  <c r="M677" i="1"/>
  <c r="A678" i="1"/>
  <c r="G678" i="1"/>
  <c r="H678" i="1"/>
  <c r="I678" i="1"/>
  <c r="J678" i="1"/>
  <c r="K678" i="1"/>
  <c r="M678" i="1"/>
  <c r="A3252" i="1"/>
  <c r="G3252" i="1"/>
  <c r="H3252" i="1"/>
  <c r="I3252" i="1"/>
  <c r="J3252" i="1"/>
  <c r="K3252" i="1"/>
  <c r="M3252" i="1"/>
  <c r="A50" i="1"/>
  <c r="G50" i="1"/>
  <c r="H50" i="1"/>
  <c r="I50" i="1"/>
  <c r="J50" i="1"/>
  <c r="K50" i="1"/>
  <c r="M50" i="1"/>
  <c r="A2109" i="1"/>
  <c r="G2109" i="1"/>
  <c r="H2109" i="1"/>
  <c r="I2109" i="1"/>
  <c r="J2109" i="1"/>
  <c r="K2109" i="1"/>
  <c r="M2109" i="1"/>
  <c r="A679" i="1"/>
  <c r="G679" i="1"/>
  <c r="H679" i="1"/>
  <c r="I679" i="1"/>
  <c r="J679" i="1"/>
  <c r="L679" i="1"/>
  <c r="M679" i="1"/>
  <c r="A51" i="1"/>
  <c r="G51" i="1"/>
  <c r="H51" i="1"/>
  <c r="I51" i="1"/>
  <c r="J51" i="1"/>
  <c r="A2775" i="1"/>
  <c r="G2775" i="1"/>
  <c r="H2775" i="1"/>
  <c r="I2775" i="1"/>
  <c r="J2775" i="1"/>
  <c r="K2775" i="1"/>
  <c r="M2775" i="1"/>
  <c r="A3253" i="1"/>
  <c r="G3253" i="1"/>
  <c r="H3253" i="1"/>
  <c r="I3253" i="1"/>
  <c r="J3253" i="1"/>
  <c r="K3253" i="1"/>
  <c r="M3253" i="1"/>
  <c r="A3254" i="1"/>
  <c r="G3254" i="1"/>
  <c r="H3254" i="1"/>
  <c r="I3254" i="1"/>
  <c r="J3254" i="1"/>
  <c r="K3254" i="1"/>
  <c r="M3254" i="1"/>
  <c r="A680" i="1"/>
  <c r="G680" i="1"/>
  <c r="H680" i="1"/>
  <c r="I680" i="1"/>
  <c r="J680" i="1"/>
  <c r="K680" i="1"/>
  <c r="M680" i="1"/>
  <c r="A681" i="1"/>
  <c r="G681" i="1"/>
  <c r="H681" i="1"/>
  <c r="I681" i="1"/>
  <c r="J681" i="1"/>
  <c r="L681" i="1"/>
  <c r="M681" i="1"/>
  <c r="A682" i="1"/>
  <c r="G682" i="1"/>
  <c r="H682" i="1"/>
  <c r="I682" i="1"/>
  <c r="J682" i="1"/>
  <c r="M682" i="1"/>
  <c r="A3255" i="1"/>
  <c r="G3255" i="1"/>
  <c r="H3255" i="1"/>
  <c r="I3255" i="1"/>
  <c r="J3255" i="1"/>
  <c r="A4428" i="1"/>
  <c r="G4428" i="1"/>
  <c r="H4428" i="1"/>
  <c r="I4428" i="1"/>
  <c r="J4428" i="1"/>
  <c r="K4428" i="1"/>
  <c r="M4428" i="1"/>
  <c r="A683" i="1"/>
  <c r="G683" i="1"/>
  <c r="H683" i="1"/>
  <c r="I683" i="1"/>
  <c r="J683" i="1"/>
  <c r="M683" i="1"/>
  <c r="A684" i="1"/>
  <c r="G684" i="1"/>
  <c r="H684" i="1"/>
  <c r="I684" i="1"/>
  <c r="J684" i="1"/>
  <c r="K684" i="1"/>
  <c r="M684" i="1"/>
  <c r="A3256" i="1"/>
  <c r="G3256" i="1"/>
  <c r="H3256" i="1"/>
  <c r="I3256" i="1"/>
  <c r="J3256" i="1"/>
  <c r="K3256" i="1"/>
  <c r="M3256" i="1"/>
  <c r="A3257" i="1"/>
  <c r="G3257" i="1"/>
  <c r="H3257" i="1"/>
  <c r="I3257" i="1"/>
  <c r="J3257" i="1"/>
  <c r="A3258" i="1"/>
  <c r="G3258" i="1"/>
  <c r="H3258" i="1"/>
  <c r="I3258" i="1"/>
  <c r="J3258" i="1"/>
  <c r="A685" i="1"/>
  <c r="G685" i="1"/>
  <c r="H685" i="1"/>
  <c r="I685" i="1"/>
  <c r="J685" i="1"/>
  <c r="K685" i="1"/>
  <c r="M685" i="1"/>
  <c r="A3259" i="1"/>
  <c r="G3259" i="1"/>
  <c r="H3259" i="1"/>
  <c r="I3259" i="1"/>
  <c r="J3259" i="1"/>
  <c r="A4678" i="1"/>
  <c r="G4678" i="1"/>
  <c r="H4678" i="1"/>
  <c r="I4678" i="1"/>
  <c r="J4678" i="1"/>
  <c r="M4678" i="1"/>
  <c r="A686" i="1"/>
  <c r="G686" i="1"/>
  <c r="H686" i="1"/>
  <c r="I686" i="1"/>
  <c r="J686" i="1"/>
  <c r="K686" i="1"/>
  <c r="M686" i="1"/>
  <c r="A3260" i="1"/>
  <c r="G3260" i="1"/>
  <c r="H3260" i="1"/>
  <c r="I3260" i="1"/>
  <c r="J3260" i="1"/>
  <c r="K3260" i="1"/>
  <c r="M3260" i="1"/>
  <c r="A687" i="1"/>
  <c r="G687" i="1"/>
  <c r="H687" i="1"/>
  <c r="I687" i="1"/>
  <c r="J687" i="1"/>
  <c r="K687" i="1"/>
  <c r="M687" i="1"/>
  <c r="A2110" i="1"/>
  <c r="G2110" i="1"/>
  <c r="H2110" i="1"/>
  <c r="I2110" i="1"/>
  <c r="J2110" i="1"/>
  <c r="K2110" i="1"/>
  <c r="M2110" i="1"/>
  <c r="A688" i="1"/>
  <c r="G688" i="1"/>
  <c r="H688" i="1"/>
  <c r="I688" i="1"/>
  <c r="J688" i="1"/>
  <c r="K688" i="1"/>
  <c r="M688" i="1"/>
  <c r="A689" i="1"/>
  <c r="G689" i="1"/>
  <c r="H689" i="1"/>
  <c r="I689" i="1"/>
  <c r="J689" i="1"/>
  <c r="K689" i="1"/>
  <c r="M689" i="1"/>
  <c r="A690" i="1"/>
  <c r="G690" i="1"/>
  <c r="H690" i="1"/>
  <c r="I690" i="1"/>
  <c r="J690" i="1"/>
  <c r="K690" i="1"/>
  <c r="L690" i="1"/>
  <c r="M690" i="1"/>
  <c r="A691" i="1"/>
  <c r="G691" i="1"/>
  <c r="H691" i="1"/>
  <c r="I691" i="1"/>
  <c r="J691" i="1"/>
  <c r="K691" i="1"/>
  <c r="M691" i="1"/>
  <c r="A3261" i="1"/>
  <c r="G3261" i="1"/>
  <c r="H3261" i="1"/>
  <c r="I3261" i="1"/>
  <c r="J3261" i="1"/>
  <c r="K3261" i="1"/>
  <c r="M3261" i="1"/>
  <c r="A2111" i="1"/>
  <c r="G2111" i="1"/>
  <c r="H2111" i="1"/>
  <c r="I2111" i="1"/>
  <c r="J2111" i="1"/>
  <c r="A2112" i="1"/>
  <c r="G2112" i="1"/>
  <c r="H2112" i="1"/>
  <c r="I2112" i="1"/>
  <c r="J2112" i="1"/>
  <c r="K2112" i="1"/>
  <c r="M2112" i="1"/>
  <c r="A692" i="1"/>
  <c r="G692" i="1"/>
  <c r="H692" i="1"/>
  <c r="I692" i="1"/>
  <c r="J692" i="1"/>
  <c r="K692" i="1"/>
  <c r="M692" i="1"/>
  <c r="A2113" i="1"/>
  <c r="G2113" i="1"/>
  <c r="H2113" i="1"/>
  <c r="I2113" i="1"/>
  <c r="J2113" i="1"/>
  <c r="K2113" i="1"/>
  <c r="M2113" i="1"/>
  <c r="A693" i="1"/>
  <c r="G693" i="1"/>
  <c r="H693" i="1"/>
  <c r="I693" i="1"/>
  <c r="J693" i="1"/>
  <c r="K693" i="1"/>
  <c r="M693" i="1"/>
  <c r="A3262" i="1"/>
  <c r="G3262" i="1"/>
  <c r="H3262" i="1"/>
  <c r="I3262" i="1"/>
  <c r="J3262" i="1"/>
  <c r="A3263" i="1"/>
  <c r="G3263" i="1"/>
  <c r="H3263" i="1"/>
  <c r="I3263" i="1"/>
  <c r="J3263" i="1"/>
  <c r="K3263" i="1"/>
  <c r="M3263" i="1"/>
  <c r="A4429" i="1"/>
  <c r="G4429" i="1"/>
  <c r="H4429" i="1"/>
  <c r="I4429" i="1"/>
  <c r="J4429" i="1"/>
  <c r="K4429" i="1"/>
  <c r="M4429" i="1"/>
  <c r="A3264" i="1"/>
  <c r="G3264" i="1"/>
  <c r="H3264" i="1"/>
  <c r="I3264" i="1"/>
  <c r="J3264" i="1"/>
  <c r="A694" i="1"/>
  <c r="G694" i="1"/>
  <c r="H694" i="1"/>
  <c r="I694" i="1"/>
  <c r="J694" i="1"/>
  <c r="M694" i="1"/>
  <c r="A4679" i="1"/>
  <c r="G4679" i="1"/>
  <c r="H4679" i="1"/>
  <c r="I4679" i="1"/>
  <c r="J4679" i="1"/>
  <c r="M4679" i="1"/>
  <c r="A4157" i="1"/>
  <c r="G4157" i="1"/>
  <c r="H4157" i="1"/>
  <c r="I4157" i="1"/>
  <c r="J4157" i="1"/>
  <c r="K4157" i="1"/>
  <c r="M4157" i="1"/>
  <c r="A695" i="1"/>
  <c r="G695" i="1"/>
  <c r="H695" i="1"/>
  <c r="I695" i="1"/>
  <c r="J695" i="1"/>
  <c r="K695" i="1"/>
  <c r="M695" i="1"/>
  <c r="A3265" i="1"/>
  <c r="G3265" i="1"/>
  <c r="H3265" i="1"/>
  <c r="I3265" i="1"/>
  <c r="J3265" i="1"/>
  <c r="A4430" i="1"/>
  <c r="G4430" i="1"/>
  <c r="H4430" i="1"/>
  <c r="I4430" i="1"/>
  <c r="J4430" i="1"/>
  <c r="K4430" i="1"/>
  <c r="M4430" i="1"/>
  <c r="A3266" i="1"/>
  <c r="G3266" i="1"/>
  <c r="H3266" i="1"/>
  <c r="I3266" i="1"/>
  <c r="J3266" i="1"/>
  <c r="K3266" i="1"/>
  <c r="M3266" i="1"/>
  <c r="A2114" i="1"/>
  <c r="G2114" i="1"/>
  <c r="H2114" i="1"/>
  <c r="I2114" i="1"/>
  <c r="J2114" i="1"/>
  <c r="K2114" i="1"/>
  <c r="M2114" i="1"/>
  <c r="A2115" i="1"/>
  <c r="G2115" i="1"/>
  <c r="H2115" i="1"/>
  <c r="I2115" i="1"/>
  <c r="J2115" i="1"/>
  <c r="A3267" i="1"/>
  <c r="G3267" i="1"/>
  <c r="H3267" i="1"/>
  <c r="I3267" i="1"/>
  <c r="J3267" i="1"/>
  <c r="K3267" i="1"/>
  <c r="M3267" i="1"/>
  <c r="A3268" i="1"/>
  <c r="G3268" i="1"/>
  <c r="H3268" i="1"/>
  <c r="I3268" i="1"/>
  <c r="J3268" i="1"/>
  <c r="A4431" i="1"/>
  <c r="G4431" i="1"/>
  <c r="H4431" i="1"/>
  <c r="I4431" i="1"/>
  <c r="J4431" i="1"/>
  <c r="M4431" i="1"/>
  <c r="A2116" i="1"/>
  <c r="G2116" i="1"/>
  <c r="H2116" i="1"/>
  <c r="I2116" i="1"/>
  <c r="J2116" i="1"/>
  <c r="K2116" i="1"/>
  <c r="M2116" i="1"/>
  <c r="A696" i="1"/>
  <c r="G696" i="1"/>
  <c r="H696" i="1"/>
  <c r="I696" i="1"/>
  <c r="J696" i="1"/>
  <c r="K696" i="1"/>
  <c r="M696" i="1"/>
  <c r="A697" i="1"/>
  <c r="G697" i="1"/>
  <c r="H697" i="1"/>
  <c r="I697" i="1"/>
  <c r="J697" i="1"/>
  <c r="K697" i="1"/>
  <c r="M697" i="1"/>
  <c r="A3269" i="1"/>
  <c r="G3269" i="1"/>
  <c r="H3269" i="1"/>
  <c r="I3269" i="1"/>
  <c r="J3269" i="1"/>
  <c r="K3269" i="1"/>
  <c r="M3269" i="1"/>
  <c r="A2117" i="1"/>
  <c r="G2117" i="1"/>
  <c r="H2117" i="1"/>
  <c r="I2117" i="1"/>
  <c r="J2117" i="1"/>
  <c r="A698" i="1"/>
  <c r="G698" i="1"/>
  <c r="H698" i="1"/>
  <c r="I698" i="1"/>
  <c r="J698" i="1"/>
  <c r="K698" i="1"/>
  <c r="M698" i="1"/>
  <c r="A699" i="1"/>
  <c r="G699" i="1"/>
  <c r="H699" i="1"/>
  <c r="I699" i="1"/>
  <c r="J699" i="1"/>
  <c r="K699" i="1"/>
  <c r="M699" i="1"/>
  <c r="A2118" i="1"/>
  <c r="G2118" i="1"/>
  <c r="H2118" i="1"/>
  <c r="I2118" i="1"/>
  <c r="J2118" i="1"/>
  <c r="A4214" i="1"/>
  <c r="G4214" i="1"/>
  <c r="H4214" i="1"/>
  <c r="I4214" i="1"/>
  <c r="J4214" i="1"/>
  <c r="A700" i="1"/>
  <c r="G700" i="1"/>
  <c r="H700" i="1"/>
  <c r="I700" i="1"/>
  <c r="J700" i="1"/>
  <c r="M700" i="1"/>
  <c r="A52" i="1"/>
  <c r="G52" i="1"/>
  <c r="H52" i="1"/>
  <c r="I52" i="1"/>
  <c r="J52" i="1"/>
  <c r="A3270" i="1"/>
  <c r="G3270" i="1"/>
  <c r="H3270" i="1"/>
  <c r="I3270" i="1"/>
  <c r="J3270" i="1"/>
  <c r="A701" i="1"/>
  <c r="G701" i="1"/>
  <c r="H701" i="1"/>
  <c r="I701" i="1"/>
  <c r="J701" i="1"/>
  <c r="K701" i="1"/>
  <c r="M701" i="1"/>
  <c r="A2119" i="1"/>
  <c r="G2119" i="1"/>
  <c r="H2119" i="1"/>
  <c r="I2119" i="1"/>
  <c r="J2119" i="1"/>
  <c r="A4215" i="1"/>
  <c r="G4215" i="1"/>
  <c r="H4215" i="1"/>
  <c r="I4215" i="1"/>
  <c r="J4215" i="1"/>
  <c r="A53" i="1"/>
  <c r="G53" i="1"/>
  <c r="H53" i="1"/>
  <c r="I53" i="1"/>
  <c r="J53" i="1"/>
  <c r="A2120" i="1"/>
  <c r="G2120" i="1"/>
  <c r="H2120" i="1"/>
  <c r="I2120" i="1"/>
  <c r="J2120" i="1"/>
  <c r="K2120" i="1"/>
  <c r="M2120" i="1"/>
  <c r="A3271" i="1"/>
  <c r="G3271" i="1"/>
  <c r="H3271" i="1"/>
  <c r="I3271" i="1"/>
  <c r="J3271" i="1"/>
  <c r="A3272" i="1"/>
  <c r="G3272" i="1"/>
  <c r="H3272" i="1"/>
  <c r="I3272" i="1"/>
  <c r="J3272" i="1"/>
  <c r="K3272" i="1"/>
  <c r="M3272" i="1"/>
  <c r="A4812" i="1"/>
  <c r="G4812" i="1"/>
  <c r="H4812" i="1"/>
  <c r="I4812" i="1"/>
  <c r="J4812" i="1"/>
  <c r="K4812" i="1"/>
  <c r="L4812" i="1"/>
  <c r="M4812" i="1"/>
  <c r="A3273" i="1"/>
  <c r="G3273" i="1"/>
  <c r="H3273" i="1"/>
  <c r="I3273" i="1"/>
  <c r="J3273" i="1"/>
  <c r="K3273" i="1"/>
  <c r="M3273" i="1"/>
  <c r="A3274" i="1"/>
  <c r="G3274" i="1"/>
  <c r="H3274" i="1"/>
  <c r="I3274" i="1"/>
  <c r="J3274" i="1"/>
  <c r="A4432" i="1"/>
  <c r="G4432" i="1"/>
  <c r="H4432" i="1"/>
  <c r="I4432" i="1"/>
  <c r="J4432" i="1"/>
  <c r="M4432" i="1"/>
  <c r="A3275" i="1"/>
  <c r="G3275" i="1"/>
  <c r="H3275" i="1"/>
  <c r="I3275" i="1"/>
  <c r="J3275" i="1"/>
  <c r="K3275" i="1"/>
  <c r="M3275" i="1"/>
  <c r="A702" i="1"/>
  <c r="G702" i="1"/>
  <c r="H702" i="1"/>
  <c r="I702" i="1"/>
  <c r="J702" i="1"/>
  <c r="K702" i="1"/>
  <c r="L702" i="1"/>
  <c r="M702" i="1"/>
  <c r="A4326" i="1"/>
  <c r="G4326" i="1"/>
  <c r="H4326" i="1"/>
  <c r="I4326" i="1"/>
  <c r="J4326" i="1"/>
  <c r="A703" i="1"/>
  <c r="G703" i="1"/>
  <c r="H703" i="1"/>
  <c r="I703" i="1"/>
  <c r="J703" i="1"/>
  <c r="K703" i="1"/>
  <c r="M703" i="1"/>
  <c r="A704" i="1"/>
  <c r="G704" i="1"/>
  <c r="H704" i="1"/>
  <c r="I704" i="1"/>
  <c r="J704" i="1"/>
  <c r="M704" i="1"/>
  <c r="A705" i="1"/>
  <c r="G705" i="1"/>
  <c r="H705" i="1"/>
  <c r="I705" i="1"/>
  <c r="J705" i="1"/>
  <c r="K705" i="1"/>
  <c r="M705" i="1"/>
  <c r="A3276" i="1"/>
  <c r="G3276" i="1"/>
  <c r="H3276" i="1"/>
  <c r="I3276" i="1"/>
  <c r="J3276" i="1"/>
  <c r="A2121" i="1"/>
  <c r="G2121" i="1"/>
  <c r="H2121" i="1"/>
  <c r="I2121" i="1"/>
  <c r="J2121" i="1"/>
  <c r="A3277" i="1"/>
  <c r="G3277" i="1"/>
  <c r="H3277" i="1"/>
  <c r="I3277" i="1"/>
  <c r="J3277" i="1"/>
  <c r="K3277" i="1"/>
  <c r="M3277" i="1"/>
  <c r="A3278" i="1"/>
  <c r="G3278" i="1"/>
  <c r="H3278" i="1"/>
  <c r="I3278" i="1"/>
  <c r="J3278" i="1"/>
  <c r="A2852" i="1"/>
  <c r="G2852" i="1"/>
  <c r="H2852" i="1"/>
  <c r="I2852" i="1"/>
  <c r="J2852" i="1"/>
  <c r="K2852" i="1"/>
  <c r="M2852" i="1"/>
  <c r="A2776" i="1"/>
  <c r="G2776" i="1"/>
  <c r="H2776" i="1"/>
  <c r="I2776" i="1"/>
  <c r="J2776" i="1"/>
  <c r="K2776" i="1"/>
  <c r="M2776" i="1"/>
  <c r="A706" i="1"/>
  <c r="G706" i="1"/>
  <c r="H706" i="1"/>
  <c r="I706" i="1"/>
  <c r="J706" i="1"/>
  <c r="K706" i="1"/>
  <c r="M706" i="1"/>
  <c r="A2122" i="1"/>
  <c r="G2122" i="1"/>
  <c r="H2122" i="1"/>
  <c r="I2122" i="1"/>
  <c r="J2122" i="1"/>
  <c r="A3279" i="1"/>
  <c r="G3279" i="1"/>
  <c r="H3279" i="1"/>
  <c r="I3279" i="1"/>
  <c r="J3279" i="1"/>
  <c r="A4433" i="1"/>
  <c r="G4433" i="1"/>
  <c r="H4433" i="1"/>
  <c r="I4433" i="1"/>
  <c r="J4433" i="1"/>
  <c r="K4433" i="1"/>
  <c r="M4433" i="1"/>
  <c r="A707" i="1"/>
  <c r="G707" i="1"/>
  <c r="H707" i="1"/>
  <c r="I707" i="1"/>
  <c r="J707" i="1"/>
  <c r="K707" i="1"/>
  <c r="M707" i="1"/>
  <c r="A3280" i="1"/>
  <c r="G3280" i="1"/>
  <c r="H3280" i="1"/>
  <c r="I3280" i="1"/>
  <c r="J3280" i="1"/>
  <c r="K3280" i="1"/>
  <c r="M3280" i="1"/>
  <c r="A4680" i="1"/>
  <c r="G4680" i="1"/>
  <c r="H4680" i="1"/>
  <c r="I4680" i="1"/>
  <c r="J4680" i="1"/>
  <c r="M4680" i="1"/>
  <c r="A54" i="1"/>
  <c r="G54" i="1"/>
  <c r="H54" i="1"/>
  <c r="I54" i="1"/>
  <c r="J54" i="1"/>
  <c r="K54" i="1"/>
  <c r="L54" i="1"/>
  <c r="M54" i="1"/>
  <c r="A2777" i="1"/>
  <c r="G2777" i="1"/>
  <c r="H2777" i="1"/>
  <c r="I2777" i="1"/>
  <c r="J2777" i="1"/>
  <c r="K2777" i="1"/>
  <c r="M2777" i="1"/>
  <c r="A708" i="1"/>
  <c r="G708" i="1"/>
  <c r="H708" i="1"/>
  <c r="I708" i="1"/>
  <c r="J708" i="1"/>
  <c r="K708" i="1"/>
  <c r="M708" i="1"/>
  <c r="A2123" i="1"/>
  <c r="G2123" i="1"/>
  <c r="H2123" i="1"/>
  <c r="I2123" i="1"/>
  <c r="J2123" i="1"/>
  <c r="A709" i="1"/>
  <c r="G709" i="1"/>
  <c r="H709" i="1"/>
  <c r="I709" i="1"/>
  <c r="J709" i="1"/>
  <c r="K709" i="1"/>
  <c r="M709" i="1"/>
  <c r="A3281" i="1"/>
  <c r="G3281" i="1"/>
  <c r="H3281" i="1"/>
  <c r="I3281" i="1"/>
  <c r="J3281" i="1"/>
  <c r="K3281" i="1"/>
  <c r="M3281" i="1"/>
  <c r="A710" i="1"/>
  <c r="G710" i="1"/>
  <c r="H710" i="1"/>
  <c r="I710" i="1"/>
  <c r="J710" i="1"/>
  <c r="K710" i="1"/>
  <c r="M710" i="1"/>
  <c r="A711" i="1"/>
  <c r="G711" i="1"/>
  <c r="H711" i="1"/>
  <c r="I711" i="1"/>
  <c r="J711" i="1"/>
  <c r="M711" i="1"/>
  <c r="A2124" i="1"/>
  <c r="G2124" i="1"/>
  <c r="H2124" i="1"/>
  <c r="I2124" i="1"/>
  <c r="J2124" i="1"/>
  <c r="A712" i="1"/>
  <c r="G712" i="1"/>
  <c r="H712" i="1"/>
  <c r="I712" i="1"/>
  <c r="J712" i="1"/>
  <c r="K712" i="1"/>
  <c r="M712" i="1"/>
  <c r="A2125" i="1"/>
  <c r="G2125" i="1"/>
  <c r="H2125" i="1"/>
  <c r="I2125" i="1"/>
  <c r="J2125" i="1"/>
  <c r="K2125" i="1"/>
  <c r="M2125" i="1"/>
  <c r="A3282" i="1"/>
  <c r="G3282" i="1"/>
  <c r="H3282" i="1"/>
  <c r="I3282" i="1"/>
  <c r="J3282" i="1"/>
  <c r="K3282" i="1"/>
  <c r="M3282" i="1"/>
  <c r="A3283" i="1"/>
  <c r="G3283" i="1"/>
  <c r="H3283" i="1"/>
  <c r="I3283" i="1"/>
  <c r="J3283" i="1"/>
  <c r="K3283" i="1"/>
  <c r="M3283" i="1"/>
  <c r="A713" i="1"/>
  <c r="G713" i="1"/>
  <c r="H713" i="1"/>
  <c r="I713" i="1"/>
  <c r="J713" i="1"/>
  <c r="K713" i="1"/>
  <c r="M713" i="1"/>
  <c r="A714" i="1"/>
  <c r="G714" i="1"/>
  <c r="H714" i="1"/>
  <c r="I714" i="1"/>
  <c r="J714" i="1"/>
  <c r="L714" i="1"/>
  <c r="M714" i="1"/>
  <c r="A3284" i="1"/>
  <c r="G3284" i="1"/>
  <c r="H3284" i="1"/>
  <c r="I3284" i="1"/>
  <c r="J3284" i="1"/>
  <c r="K3284" i="1"/>
  <c r="M3284" i="1"/>
  <c r="A2126" i="1"/>
  <c r="G2126" i="1"/>
  <c r="H2126" i="1"/>
  <c r="I2126" i="1"/>
  <c r="J2126" i="1"/>
  <c r="K2126" i="1"/>
  <c r="M2126" i="1"/>
  <c r="A3285" i="1"/>
  <c r="G3285" i="1"/>
  <c r="H3285" i="1"/>
  <c r="I3285" i="1"/>
  <c r="J3285" i="1"/>
  <c r="A2127" i="1"/>
  <c r="G2127" i="1"/>
  <c r="H2127" i="1"/>
  <c r="I2127" i="1"/>
  <c r="J2127" i="1"/>
  <c r="K2127" i="1"/>
  <c r="M2127" i="1"/>
  <c r="A715" i="1"/>
  <c r="G715" i="1"/>
  <c r="H715" i="1"/>
  <c r="I715" i="1"/>
  <c r="J715" i="1"/>
  <c r="K715" i="1"/>
  <c r="M715" i="1"/>
  <c r="A716" i="1"/>
  <c r="G716" i="1"/>
  <c r="H716" i="1"/>
  <c r="I716" i="1"/>
  <c r="J716" i="1"/>
  <c r="L716" i="1"/>
  <c r="M716" i="1"/>
  <c r="A2128" i="1"/>
  <c r="G2128" i="1"/>
  <c r="H2128" i="1"/>
  <c r="I2128" i="1"/>
  <c r="J2128" i="1"/>
  <c r="A2129" i="1"/>
  <c r="G2129" i="1"/>
  <c r="H2129" i="1"/>
  <c r="I2129" i="1"/>
  <c r="J2129" i="1"/>
  <c r="A717" i="1"/>
  <c r="G717" i="1"/>
  <c r="H717" i="1"/>
  <c r="I717" i="1"/>
  <c r="J717" i="1"/>
  <c r="L717" i="1"/>
  <c r="M717" i="1"/>
  <c r="A718" i="1"/>
  <c r="G718" i="1"/>
  <c r="H718" i="1"/>
  <c r="I718" i="1"/>
  <c r="J718" i="1"/>
  <c r="K718" i="1"/>
  <c r="M718" i="1"/>
  <c r="A3286" i="1"/>
  <c r="G3286" i="1"/>
  <c r="H3286" i="1"/>
  <c r="I3286" i="1"/>
  <c r="J3286" i="1"/>
  <c r="A4681" i="1"/>
  <c r="G4681" i="1"/>
  <c r="H4681" i="1"/>
  <c r="I4681" i="1"/>
  <c r="J4681" i="1"/>
  <c r="M4681" i="1"/>
  <c r="A4216" i="1"/>
  <c r="G4216" i="1"/>
  <c r="H4216" i="1"/>
  <c r="I4216" i="1"/>
  <c r="J4216" i="1"/>
  <c r="K4216" i="1"/>
  <c r="M4216" i="1"/>
  <c r="A719" i="1"/>
  <c r="G719" i="1"/>
  <c r="H719" i="1"/>
  <c r="I719" i="1"/>
  <c r="J719" i="1"/>
  <c r="K719" i="1"/>
  <c r="M719" i="1"/>
  <c r="A3287" i="1"/>
  <c r="G3287" i="1"/>
  <c r="H3287" i="1"/>
  <c r="I3287" i="1"/>
  <c r="J3287" i="1"/>
  <c r="K3287" i="1"/>
  <c r="M3287" i="1"/>
  <c r="A4327" i="1"/>
  <c r="G4327" i="1"/>
  <c r="H4327" i="1"/>
  <c r="I4327" i="1"/>
  <c r="J4327" i="1"/>
  <c r="M4327" i="1"/>
  <c r="A3288" i="1"/>
  <c r="G3288" i="1"/>
  <c r="H3288" i="1"/>
  <c r="I3288" i="1"/>
  <c r="J3288" i="1"/>
  <c r="K3288" i="1"/>
  <c r="M3288" i="1"/>
  <c r="A720" i="1"/>
  <c r="G720" i="1"/>
  <c r="H720" i="1"/>
  <c r="I720" i="1"/>
  <c r="J720" i="1"/>
  <c r="K720" i="1"/>
  <c r="M720" i="1"/>
  <c r="A721" i="1"/>
  <c r="G721" i="1"/>
  <c r="H721" i="1"/>
  <c r="I721" i="1"/>
  <c r="J721" i="1"/>
  <c r="K721" i="1"/>
  <c r="M721" i="1"/>
  <c r="A722" i="1"/>
  <c r="G722" i="1"/>
  <c r="H722" i="1"/>
  <c r="I722" i="1"/>
  <c r="J722" i="1"/>
  <c r="M722" i="1"/>
  <c r="A723" i="1"/>
  <c r="G723" i="1"/>
  <c r="H723" i="1"/>
  <c r="I723" i="1"/>
  <c r="J723" i="1"/>
  <c r="K723" i="1"/>
  <c r="M723" i="1"/>
  <c r="A2130" i="1"/>
  <c r="G2130" i="1"/>
  <c r="H2130" i="1"/>
  <c r="I2130" i="1"/>
  <c r="J2130" i="1"/>
  <c r="A3289" i="1"/>
  <c r="G3289" i="1"/>
  <c r="H3289" i="1"/>
  <c r="I3289" i="1"/>
  <c r="J3289" i="1"/>
  <c r="K3289" i="1"/>
  <c r="M3289" i="1"/>
  <c r="A724" i="1"/>
  <c r="G724" i="1"/>
  <c r="H724" i="1"/>
  <c r="I724" i="1"/>
  <c r="J724" i="1"/>
  <c r="K724" i="1"/>
  <c r="M724" i="1"/>
  <c r="A55" i="1"/>
  <c r="G55" i="1"/>
  <c r="H55" i="1"/>
  <c r="I55" i="1"/>
  <c r="J55" i="1"/>
  <c r="K55" i="1"/>
  <c r="M55" i="1"/>
  <c r="A2131" i="1"/>
  <c r="G2131" i="1"/>
  <c r="H2131" i="1"/>
  <c r="I2131" i="1"/>
  <c r="J2131" i="1"/>
  <c r="A725" i="1"/>
  <c r="G725" i="1"/>
  <c r="H725" i="1"/>
  <c r="I725" i="1"/>
  <c r="J725" i="1"/>
  <c r="K725" i="1"/>
  <c r="M725" i="1"/>
  <c r="A726" i="1"/>
  <c r="G726" i="1"/>
  <c r="H726" i="1"/>
  <c r="I726" i="1"/>
  <c r="J726" i="1"/>
  <c r="K726" i="1"/>
  <c r="M726" i="1"/>
  <c r="A2132" i="1"/>
  <c r="G2132" i="1"/>
  <c r="H2132" i="1"/>
  <c r="I2132" i="1"/>
  <c r="J2132" i="1"/>
  <c r="A727" i="1"/>
  <c r="G727" i="1"/>
  <c r="H727" i="1"/>
  <c r="I727" i="1"/>
  <c r="J727" i="1"/>
  <c r="K727" i="1"/>
  <c r="M727" i="1"/>
  <c r="A728" i="1"/>
  <c r="G728" i="1"/>
  <c r="H728" i="1"/>
  <c r="I728" i="1"/>
  <c r="J728" i="1"/>
  <c r="K728" i="1"/>
  <c r="M728" i="1"/>
  <c r="A2133" i="1"/>
  <c r="G2133" i="1"/>
  <c r="H2133" i="1"/>
  <c r="I2133" i="1"/>
  <c r="J2133" i="1"/>
  <c r="K2133" i="1"/>
  <c r="M2133" i="1"/>
  <c r="A729" i="1"/>
  <c r="G729" i="1"/>
  <c r="H729" i="1"/>
  <c r="I729" i="1"/>
  <c r="J729" i="1"/>
  <c r="K729" i="1"/>
  <c r="M729" i="1"/>
  <c r="A3290" i="1"/>
  <c r="G3290" i="1"/>
  <c r="H3290" i="1"/>
  <c r="I3290" i="1"/>
  <c r="J3290" i="1"/>
  <c r="A3291" i="1"/>
  <c r="G3291" i="1"/>
  <c r="H3291" i="1"/>
  <c r="I3291" i="1"/>
  <c r="J3291" i="1"/>
  <c r="A3292" i="1"/>
  <c r="G3292" i="1"/>
  <c r="H3292" i="1"/>
  <c r="I3292" i="1"/>
  <c r="J3292" i="1"/>
  <c r="K3292" i="1"/>
  <c r="M3292" i="1"/>
  <c r="A730" i="1"/>
  <c r="G730" i="1"/>
  <c r="H730" i="1"/>
  <c r="I730" i="1"/>
  <c r="J730" i="1"/>
  <c r="M730" i="1"/>
  <c r="A3293" i="1"/>
  <c r="G3293" i="1"/>
  <c r="H3293" i="1"/>
  <c r="I3293" i="1"/>
  <c r="J3293" i="1"/>
  <c r="K3293" i="1"/>
  <c r="M3293" i="1"/>
  <c r="A731" i="1"/>
  <c r="G731" i="1"/>
  <c r="H731" i="1"/>
  <c r="I731" i="1"/>
  <c r="J731" i="1"/>
  <c r="K731" i="1"/>
  <c r="M731" i="1"/>
  <c r="A732" i="1"/>
  <c r="G732" i="1"/>
  <c r="H732" i="1"/>
  <c r="I732" i="1"/>
  <c r="J732" i="1"/>
  <c r="K732" i="1"/>
  <c r="M732" i="1"/>
  <c r="A733" i="1"/>
  <c r="G733" i="1"/>
  <c r="H733" i="1"/>
  <c r="I733" i="1"/>
  <c r="J733" i="1"/>
  <c r="K733" i="1"/>
  <c r="M733" i="1"/>
  <c r="A3294" i="1"/>
  <c r="G3294" i="1"/>
  <c r="H3294" i="1"/>
  <c r="I3294" i="1"/>
  <c r="J3294" i="1"/>
  <c r="A4682" i="1"/>
  <c r="G4682" i="1"/>
  <c r="H4682" i="1"/>
  <c r="I4682" i="1"/>
  <c r="J4682" i="1"/>
  <c r="M4682" i="1"/>
  <c r="A2134" i="1"/>
  <c r="G2134" i="1"/>
  <c r="H2134" i="1"/>
  <c r="I2134" i="1"/>
  <c r="J2134" i="1"/>
  <c r="K2134" i="1"/>
  <c r="M2134" i="1"/>
  <c r="A4434" i="1"/>
  <c r="G4434" i="1"/>
  <c r="H4434" i="1"/>
  <c r="I4434" i="1"/>
  <c r="J4434" i="1"/>
  <c r="K4434" i="1"/>
  <c r="M4434" i="1"/>
  <c r="A2135" i="1"/>
  <c r="G2135" i="1"/>
  <c r="H2135" i="1"/>
  <c r="I2135" i="1"/>
  <c r="J2135" i="1"/>
  <c r="K2135" i="1"/>
  <c r="M2135" i="1"/>
  <c r="A2136" i="1"/>
  <c r="G2136" i="1"/>
  <c r="H2136" i="1"/>
  <c r="I2136" i="1"/>
  <c r="J2136" i="1"/>
  <c r="K2136" i="1"/>
  <c r="M2136" i="1"/>
  <c r="A2137" i="1"/>
  <c r="G2137" i="1"/>
  <c r="H2137" i="1"/>
  <c r="I2137" i="1"/>
  <c r="J2137" i="1"/>
  <c r="K2137" i="1"/>
  <c r="M2137" i="1"/>
  <c r="A2138" i="1"/>
  <c r="G2138" i="1"/>
  <c r="H2138" i="1"/>
  <c r="I2138" i="1"/>
  <c r="J2138" i="1"/>
  <c r="K2138" i="1"/>
  <c r="M2138" i="1"/>
  <c r="A4683" i="1"/>
  <c r="G4683" i="1"/>
  <c r="H4683" i="1"/>
  <c r="I4683" i="1"/>
  <c r="J4683" i="1"/>
  <c r="M4683" i="1"/>
  <c r="A4684" i="1"/>
  <c r="G4684" i="1"/>
  <c r="H4684" i="1"/>
  <c r="I4684" i="1"/>
  <c r="J4684" i="1"/>
  <c r="M4684" i="1"/>
  <c r="A3295" i="1"/>
  <c r="G3295" i="1"/>
  <c r="H3295" i="1"/>
  <c r="I3295" i="1"/>
  <c r="J3295" i="1"/>
  <c r="A2139" i="1"/>
  <c r="G2139" i="1"/>
  <c r="H2139" i="1"/>
  <c r="I2139" i="1"/>
  <c r="J2139" i="1"/>
  <c r="K2139" i="1"/>
  <c r="M2139" i="1"/>
  <c r="A4685" i="1"/>
  <c r="G4685" i="1"/>
  <c r="H4685" i="1"/>
  <c r="I4685" i="1"/>
  <c r="J4685" i="1"/>
  <c r="M4685" i="1"/>
  <c r="A4686" i="1"/>
  <c r="G4686" i="1"/>
  <c r="H4686" i="1"/>
  <c r="I4686" i="1"/>
  <c r="J4686" i="1"/>
  <c r="M4686" i="1"/>
  <c r="A4687" i="1"/>
  <c r="G4687" i="1"/>
  <c r="H4687" i="1"/>
  <c r="I4687" i="1"/>
  <c r="J4687" i="1"/>
  <c r="M4687" i="1"/>
  <c r="A3296" i="1"/>
  <c r="G3296" i="1"/>
  <c r="H3296" i="1"/>
  <c r="I3296" i="1"/>
  <c r="J3296" i="1"/>
  <c r="A4435" i="1"/>
  <c r="G4435" i="1"/>
  <c r="H4435" i="1"/>
  <c r="I4435" i="1"/>
  <c r="J4435" i="1"/>
  <c r="K4435" i="1"/>
  <c r="M4435" i="1"/>
  <c r="A734" i="1"/>
  <c r="G734" i="1"/>
  <c r="H734" i="1"/>
  <c r="I734" i="1"/>
  <c r="J734" i="1"/>
  <c r="M734" i="1"/>
  <c r="A735" i="1"/>
  <c r="G735" i="1"/>
  <c r="H735" i="1"/>
  <c r="I735" i="1"/>
  <c r="J735" i="1"/>
  <c r="K735" i="1"/>
  <c r="L735" i="1"/>
  <c r="M735" i="1"/>
  <c r="A2140" i="1"/>
  <c r="G2140" i="1"/>
  <c r="H2140" i="1"/>
  <c r="I2140" i="1"/>
  <c r="J2140" i="1"/>
  <c r="A736" i="1"/>
  <c r="G736" i="1"/>
  <c r="H736" i="1"/>
  <c r="I736" i="1"/>
  <c r="J736" i="1"/>
  <c r="K736" i="1"/>
  <c r="M736" i="1"/>
  <c r="A737" i="1"/>
  <c r="G737" i="1"/>
  <c r="H737" i="1"/>
  <c r="I737" i="1"/>
  <c r="J737" i="1"/>
  <c r="K737" i="1"/>
  <c r="M737" i="1"/>
  <c r="A3297" i="1"/>
  <c r="G3297" i="1"/>
  <c r="H3297" i="1"/>
  <c r="I3297" i="1"/>
  <c r="J3297" i="1"/>
  <c r="K3297" i="1"/>
  <c r="M3297" i="1"/>
  <c r="A738" i="1"/>
  <c r="G738" i="1"/>
  <c r="H738" i="1"/>
  <c r="I738" i="1"/>
  <c r="J738" i="1"/>
  <c r="L738" i="1"/>
  <c r="M738" i="1"/>
  <c r="A4688" i="1"/>
  <c r="G4688" i="1"/>
  <c r="H4688" i="1"/>
  <c r="I4688" i="1"/>
  <c r="J4688" i="1"/>
  <c r="M4688" i="1"/>
  <c r="A739" i="1"/>
  <c r="G739" i="1"/>
  <c r="H739" i="1"/>
  <c r="I739" i="1"/>
  <c r="J739" i="1"/>
  <c r="K739" i="1"/>
  <c r="M739" i="1"/>
  <c r="A4217" i="1"/>
  <c r="G4217" i="1"/>
  <c r="H4217" i="1"/>
  <c r="I4217" i="1"/>
  <c r="J4217" i="1"/>
  <c r="K4217" i="1"/>
  <c r="M4217" i="1"/>
  <c r="A4218" i="1"/>
  <c r="G4218" i="1"/>
  <c r="H4218" i="1"/>
  <c r="I4218" i="1"/>
  <c r="J4218" i="1"/>
  <c r="K4218" i="1"/>
  <c r="M4218" i="1"/>
  <c r="A740" i="1"/>
  <c r="G740" i="1"/>
  <c r="H740" i="1"/>
  <c r="I740" i="1"/>
  <c r="J740" i="1"/>
  <c r="M740" i="1"/>
  <c r="A2141" i="1"/>
  <c r="G2141" i="1"/>
  <c r="H2141" i="1"/>
  <c r="I2141" i="1"/>
  <c r="J2141" i="1"/>
  <c r="K2141" i="1"/>
  <c r="M2141" i="1"/>
  <c r="A3298" i="1"/>
  <c r="G3298" i="1"/>
  <c r="H3298" i="1"/>
  <c r="I3298" i="1"/>
  <c r="J3298" i="1"/>
  <c r="K3298" i="1"/>
  <c r="M3298" i="1"/>
  <c r="A3299" i="1"/>
  <c r="G3299" i="1"/>
  <c r="H3299" i="1"/>
  <c r="I3299" i="1"/>
  <c r="J3299" i="1"/>
  <c r="K3299" i="1"/>
  <c r="M3299" i="1"/>
  <c r="A2142" i="1"/>
  <c r="G2142" i="1"/>
  <c r="H2142" i="1"/>
  <c r="I2142" i="1"/>
  <c r="J2142" i="1"/>
  <c r="A2143" i="1"/>
  <c r="G2143" i="1"/>
  <c r="H2143" i="1"/>
  <c r="I2143" i="1"/>
  <c r="J2143" i="1"/>
  <c r="K2143" i="1"/>
  <c r="M2143" i="1"/>
  <c r="A2144" i="1"/>
  <c r="G2144" i="1"/>
  <c r="H2144" i="1"/>
  <c r="I2144" i="1"/>
  <c r="J2144" i="1"/>
  <c r="K2144" i="1"/>
  <c r="M2144" i="1"/>
  <c r="A4600" i="1"/>
  <c r="G4600" i="1"/>
  <c r="H4600" i="1"/>
  <c r="I4600" i="1"/>
  <c r="J4600" i="1"/>
  <c r="K4600" i="1"/>
  <c r="M4600" i="1"/>
  <c r="A2778" i="1"/>
  <c r="G2778" i="1"/>
  <c r="H2778" i="1"/>
  <c r="I2778" i="1"/>
  <c r="J2778" i="1"/>
  <c r="K2778" i="1"/>
  <c r="M2778" i="1"/>
  <c r="A741" i="1"/>
  <c r="G741" i="1"/>
  <c r="H741" i="1"/>
  <c r="I741" i="1"/>
  <c r="J741" i="1"/>
  <c r="K741" i="1"/>
  <c r="M741" i="1"/>
  <c r="A4436" i="1"/>
  <c r="G4436" i="1"/>
  <c r="H4436" i="1"/>
  <c r="I4436" i="1"/>
  <c r="J4436" i="1"/>
  <c r="M4436" i="1"/>
  <c r="A3300" i="1"/>
  <c r="G3300" i="1"/>
  <c r="H3300" i="1"/>
  <c r="I3300" i="1"/>
  <c r="J3300" i="1"/>
  <c r="A3301" i="1"/>
  <c r="G3301" i="1"/>
  <c r="H3301" i="1"/>
  <c r="I3301" i="1"/>
  <c r="J3301" i="1"/>
  <c r="K3301" i="1"/>
  <c r="M3301" i="1"/>
  <c r="A742" i="1"/>
  <c r="G742" i="1"/>
  <c r="H742" i="1"/>
  <c r="I742" i="1"/>
  <c r="J742" i="1"/>
  <c r="K742" i="1"/>
  <c r="M742" i="1"/>
  <c r="A3302" i="1"/>
  <c r="G3302" i="1"/>
  <c r="H3302" i="1"/>
  <c r="I3302" i="1"/>
  <c r="J3302" i="1"/>
  <c r="A4437" i="1"/>
  <c r="G4437" i="1"/>
  <c r="H4437" i="1"/>
  <c r="I4437" i="1"/>
  <c r="J4437" i="1"/>
  <c r="K4437" i="1"/>
  <c r="M4437" i="1"/>
  <c r="A4438" i="1"/>
  <c r="G4438" i="1"/>
  <c r="H4438" i="1"/>
  <c r="I4438" i="1"/>
  <c r="J4438" i="1"/>
  <c r="K4438" i="1"/>
  <c r="M4438" i="1"/>
  <c r="A2779" i="1"/>
  <c r="G2779" i="1"/>
  <c r="H2779" i="1"/>
  <c r="I2779" i="1"/>
  <c r="J2779" i="1"/>
  <c r="K2779" i="1"/>
  <c r="M2779" i="1"/>
  <c r="A3303" i="1"/>
  <c r="G3303" i="1"/>
  <c r="H3303" i="1"/>
  <c r="I3303" i="1"/>
  <c r="J3303" i="1"/>
  <c r="A743" i="1"/>
  <c r="G743" i="1"/>
  <c r="H743" i="1"/>
  <c r="I743" i="1"/>
  <c r="J743" i="1"/>
  <c r="M743" i="1"/>
  <c r="A3304" i="1"/>
  <c r="G3304" i="1"/>
  <c r="H3304" i="1"/>
  <c r="I3304" i="1"/>
  <c r="J3304" i="1"/>
  <c r="K3304" i="1"/>
  <c r="M3304" i="1"/>
  <c r="A744" i="1"/>
  <c r="G744" i="1"/>
  <c r="H744" i="1"/>
  <c r="I744" i="1"/>
  <c r="J744" i="1"/>
  <c r="L744" i="1"/>
  <c r="M744" i="1"/>
  <c r="A2145" i="1"/>
  <c r="G2145" i="1"/>
  <c r="H2145" i="1"/>
  <c r="I2145" i="1"/>
  <c r="J2145" i="1"/>
  <c r="K2145" i="1"/>
  <c r="M2145" i="1"/>
  <c r="A745" i="1"/>
  <c r="G745" i="1"/>
  <c r="H745" i="1"/>
  <c r="I745" i="1"/>
  <c r="J745" i="1"/>
  <c r="K745" i="1"/>
  <c r="M745" i="1"/>
  <c r="A3305" i="1"/>
  <c r="G3305" i="1"/>
  <c r="H3305" i="1"/>
  <c r="I3305" i="1"/>
  <c r="J3305" i="1"/>
  <c r="L3305" i="1"/>
  <c r="M3305" i="1"/>
  <c r="A3306" i="1"/>
  <c r="G3306" i="1"/>
  <c r="H3306" i="1"/>
  <c r="I3306" i="1"/>
  <c r="J3306" i="1"/>
  <c r="K3306" i="1"/>
  <c r="M3306" i="1"/>
  <c r="A2146" i="1"/>
  <c r="G2146" i="1"/>
  <c r="H2146" i="1"/>
  <c r="I2146" i="1"/>
  <c r="J2146" i="1"/>
  <c r="M2146" i="1"/>
  <c r="A4219" i="1"/>
  <c r="G4219" i="1"/>
  <c r="H4219" i="1"/>
  <c r="I4219" i="1"/>
  <c r="J4219" i="1"/>
  <c r="K4219" i="1"/>
  <c r="M4219" i="1"/>
  <c r="A2780" i="1"/>
  <c r="G2780" i="1"/>
  <c r="H2780" i="1"/>
  <c r="I2780" i="1"/>
  <c r="J2780" i="1"/>
  <c r="K2780" i="1"/>
  <c r="M2780" i="1"/>
  <c r="A746" i="1"/>
  <c r="G746" i="1"/>
  <c r="H746" i="1"/>
  <c r="I746" i="1"/>
  <c r="J746" i="1"/>
  <c r="K746" i="1"/>
  <c r="M746" i="1"/>
  <c r="A2147" i="1"/>
  <c r="G2147" i="1"/>
  <c r="H2147" i="1"/>
  <c r="I2147" i="1"/>
  <c r="J2147" i="1"/>
  <c r="K2147" i="1"/>
  <c r="M2147" i="1"/>
  <c r="A4689" i="1"/>
  <c r="G4689" i="1"/>
  <c r="H4689" i="1"/>
  <c r="I4689" i="1"/>
  <c r="J4689" i="1"/>
  <c r="M4689" i="1"/>
  <c r="A4439" i="1"/>
  <c r="G4439" i="1"/>
  <c r="H4439" i="1"/>
  <c r="I4439" i="1"/>
  <c r="J4439" i="1"/>
  <c r="K4439" i="1"/>
  <c r="M4439" i="1"/>
  <c r="A747" i="1"/>
  <c r="G747" i="1"/>
  <c r="H747" i="1"/>
  <c r="I747" i="1"/>
  <c r="J747" i="1"/>
  <c r="K747" i="1"/>
  <c r="M747" i="1"/>
  <c r="A2" i="1"/>
  <c r="G2" i="1"/>
  <c r="H2" i="1"/>
  <c r="I2" i="1"/>
  <c r="J2" i="1"/>
  <c r="A748" i="1"/>
  <c r="G748" i="1"/>
  <c r="H748" i="1"/>
  <c r="I748" i="1"/>
  <c r="J748" i="1"/>
  <c r="M748" i="1"/>
  <c r="A4440" i="1"/>
  <c r="G4440" i="1"/>
  <c r="H4440" i="1"/>
  <c r="I4440" i="1"/>
  <c r="J4440" i="1"/>
  <c r="K4440" i="1"/>
  <c r="M4440" i="1"/>
  <c r="A3307" i="1"/>
  <c r="G3307" i="1"/>
  <c r="H3307" i="1"/>
  <c r="I3307" i="1"/>
  <c r="J3307" i="1"/>
  <c r="K3307" i="1"/>
  <c r="M3307" i="1"/>
  <c r="A3308" i="1"/>
  <c r="G3308" i="1"/>
  <c r="H3308" i="1"/>
  <c r="I3308" i="1"/>
  <c r="J3308" i="1"/>
  <c r="K3308" i="1"/>
  <c r="M3308" i="1"/>
  <c r="A749" i="1"/>
  <c r="G749" i="1"/>
  <c r="H749" i="1"/>
  <c r="I749" i="1"/>
  <c r="J749" i="1"/>
  <c r="K749" i="1"/>
  <c r="M749" i="1"/>
  <c r="A3309" i="1"/>
  <c r="G3309" i="1"/>
  <c r="H3309" i="1"/>
  <c r="I3309" i="1"/>
  <c r="J3309" i="1"/>
  <c r="K3309" i="1"/>
  <c r="M3309" i="1"/>
  <c r="A2148" i="1"/>
  <c r="G2148" i="1"/>
  <c r="H2148" i="1"/>
  <c r="I2148" i="1"/>
  <c r="J2148" i="1"/>
  <c r="K2148" i="1"/>
  <c r="M2148" i="1"/>
  <c r="A4158" i="1"/>
  <c r="G4158" i="1"/>
  <c r="H4158" i="1"/>
  <c r="I4158" i="1"/>
  <c r="J4158" i="1"/>
  <c r="K4158" i="1"/>
  <c r="M4158" i="1"/>
  <c r="A4305" i="1"/>
  <c r="G4305" i="1"/>
  <c r="H4305" i="1"/>
  <c r="I4305" i="1"/>
  <c r="J4305" i="1"/>
  <c r="K4305" i="1"/>
  <c r="M4305" i="1"/>
  <c r="A2149" i="1"/>
  <c r="G2149" i="1"/>
  <c r="H2149" i="1"/>
  <c r="I2149" i="1"/>
  <c r="J2149" i="1"/>
  <c r="K2149" i="1"/>
  <c r="M2149" i="1"/>
  <c r="A3310" i="1"/>
  <c r="G3310" i="1"/>
  <c r="H3310" i="1"/>
  <c r="I3310" i="1"/>
  <c r="J3310" i="1"/>
  <c r="A4690" i="1"/>
  <c r="G4690" i="1"/>
  <c r="H4690" i="1"/>
  <c r="I4690" i="1"/>
  <c r="J4690" i="1"/>
  <c r="M4690" i="1"/>
  <c r="A2150" i="1"/>
  <c r="G2150" i="1"/>
  <c r="H2150" i="1"/>
  <c r="I2150" i="1"/>
  <c r="J2150" i="1"/>
  <c r="K2150" i="1"/>
  <c r="M2150" i="1"/>
  <c r="A4328" i="1"/>
  <c r="G4328" i="1"/>
  <c r="H4328" i="1"/>
  <c r="I4328" i="1"/>
  <c r="J4328" i="1"/>
  <c r="L4328" i="1"/>
  <c r="M4328" i="1"/>
  <c r="A750" i="1"/>
  <c r="G750" i="1"/>
  <c r="H750" i="1"/>
  <c r="I750" i="1"/>
  <c r="J750" i="1"/>
  <c r="K750" i="1"/>
  <c r="M750" i="1"/>
  <c r="A3311" i="1"/>
  <c r="G3311" i="1"/>
  <c r="H3311" i="1"/>
  <c r="I3311" i="1"/>
  <c r="J3311" i="1"/>
  <c r="K3311" i="1"/>
  <c r="M3311" i="1"/>
  <c r="A2151" i="1"/>
  <c r="G2151" i="1"/>
  <c r="H2151" i="1"/>
  <c r="I2151" i="1"/>
  <c r="J2151" i="1"/>
  <c r="A3312" i="1"/>
  <c r="G3312" i="1"/>
  <c r="H3312" i="1"/>
  <c r="I3312" i="1"/>
  <c r="J3312" i="1"/>
  <c r="K3312" i="1"/>
  <c r="M3312" i="1"/>
  <c r="A751" i="1"/>
  <c r="G751" i="1"/>
  <c r="H751" i="1"/>
  <c r="I751" i="1"/>
  <c r="J751" i="1"/>
  <c r="K751" i="1"/>
  <c r="M751" i="1"/>
  <c r="A2152" i="1"/>
  <c r="G2152" i="1"/>
  <c r="H2152" i="1"/>
  <c r="I2152" i="1"/>
  <c r="J2152" i="1"/>
  <c r="A4220" i="1"/>
  <c r="G4220" i="1"/>
  <c r="H4220" i="1"/>
  <c r="I4220" i="1"/>
  <c r="J4220" i="1"/>
  <c r="K4220" i="1"/>
  <c r="M4220" i="1"/>
  <c r="A3313" i="1"/>
  <c r="G3313" i="1"/>
  <c r="H3313" i="1"/>
  <c r="I3313" i="1"/>
  <c r="J3313" i="1"/>
  <c r="A752" i="1"/>
  <c r="G752" i="1"/>
  <c r="H752" i="1"/>
  <c r="I752" i="1"/>
  <c r="J752" i="1"/>
  <c r="K752" i="1"/>
  <c r="M752" i="1"/>
  <c r="A3314" i="1"/>
  <c r="G3314" i="1"/>
  <c r="H3314" i="1"/>
  <c r="I3314" i="1"/>
  <c r="J3314" i="1"/>
  <c r="K3314" i="1"/>
  <c r="M3314" i="1"/>
  <c r="A3315" i="1"/>
  <c r="G3315" i="1"/>
  <c r="H3315" i="1"/>
  <c r="I3315" i="1"/>
  <c r="J3315" i="1"/>
  <c r="K3315" i="1"/>
  <c r="M3315" i="1"/>
  <c r="A3316" i="1"/>
  <c r="G3316" i="1"/>
  <c r="H3316" i="1"/>
  <c r="I3316" i="1"/>
  <c r="J3316" i="1"/>
  <c r="A753" i="1"/>
  <c r="G753" i="1"/>
  <c r="H753" i="1"/>
  <c r="I753" i="1"/>
  <c r="J753" i="1"/>
  <c r="K753" i="1"/>
  <c r="M753" i="1"/>
  <c r="A754" i="1"/>
  <c r="G754" i="1"/>
  <c r="H754" i="1"/>
  <c r="I754" i="1"/>
  <c r="J754" i="1"/>
  <c r="K754" i="1"/>
  <c r="M754" i="1"/>
  <c r="A755" i="1"/>
  <c r="G755" i="1"/>
  <c r="H755" i="1"/>
  <c r="I755" i="1"/>
  <c r="J755" i="1"/>
  <c r="K755" i="1"/>
  <c r="M755" i="1"/>
  <c r="A756" i="1"/>
  <c r="G756" i="1"/>
  <c r="H756" i="1"/>
  <c r="I756" i="1"/>
  <c r="J756" i="1"/>
  <c r="M756" i="1"/>
  <c r="A4784" i="1"/>
  <c r="G4784" i="1"/>
  <c r="H4784" i="1"/>
  <c r="I4784" i="1"/>
  <c r="J4784" i="1"/>
  <c r="K4784" i="1"/>
  <c r="M4784" i="1"/>
  <c r="A757" i="1"/>
  <c r="G757" i="1"/>
  <c r="H757" i="1"/>
  <c r="I757" i="1"/>
  <c r="J757" i="1"/>
  <c r="K757" i="1"/>
  <c r="M757" i="1"/>
  <c r="A2853" i="1"/>
  <c r="G2853" i="1"/>
  <c r="H2853" i="1"/>
  <c r="I2853" i="1"/>
  <c r="J2853" i="1"/>
  <c r="K2853" i="1"/>
  <c r="M2853" i="1"/>
  <c r="A758" i="1"/>
  <c r="G758" i="1"/>
  <c r="H758" i="1"/>
  <c r="I758" i="1"/>
  <c r="J758" i="1"/>
  <c r="M758" i="1"/>
  <c r="A3317" i="1"/>
  <c r="G3317" i="1"/>
  <c r="H3317" i="1"/>
  <c r="I3317" i="1"/>
  <c r="J3317" i="1"/>
  <c r="A3318" i="1"/>
  <c r="G3318" i="1"/>
  <c r="H3318" i="1"/>
  <c r="I3318" i="1"/>
  <c r="J3318" i="1"/>
  <c r="A759" i="1"/>
  <c r="G759" i="1"/>
  <c r="H759" i="1"/>
  <c r="I759" i="1"/>
  <c r="J759" i="1"/>
  <c r="M759" i="1"/>
  <c r="A3319" i="1"/>
  <c r="G3319" i="1"/>
  <c r="H3319" i="1"/>
  <c r="I3319" i="1"/>
  <c r="J3319" i="1"/>
  <c r="A760" i="1"/>
  <c r="G760" i="1"/>
  <c r="H760" i="1"/>
  <c r="I760" i="1"/>
  <c r="J760" i="1"/>
  <c r="K760" i="1"/>
  <c r="M760" i="1"/>
  <c r="A2153" i="1"/>
  <c r="G2153" i="1"/>
  <c r="H2153" i="1"/>
  <c r="I2153" i="1"/>
  <c r="J2153" i="1"/>
  <c r="K2153" i="1"/>
  <c r="M2153" i="1"/>
  <c r="A761" i="1"/>
  <c r="G761" i="1"/>
  <c r="H761" i="1"/>
  <c r="I761" i="1"/>
  <c r="J761" i="1"/>
  <c r="K761" i="1"/>
  <c r="M761" i="1"/>
  <c r="A2154" i="1"/>
  <c r="G2154" i="1"/>
  <c r="H2154" i="1"/>
  <c r="I2154" i="1"/>
  <c r="J2154" i="1"/>
  <c r="K2154" i="1"/>
  <c r="M2154" i="1"/>
  <c r="A762" i="1"/>
  <c r="G762" i="1"/>
  <c r="H762" i="1"/>
  <c r="I762" i="1"/>
  <c r="J762" i="1"/>
  <c r="K762" i="1"/>
  <c r="M762" i="1"/>
  <c r="A4601" i="1"/>
  <c r="G4601" i="1"/>
  <c r="H4601" i="1"/>
  <c r="I4601" i="1"/>
  <c r="J4601" i="1"/>
  <c r="A3320" i="1"/>
  <c r="G3320" i="1"/>
  <c r="H3320" i="1"/>
  <c r="I3320" i="1"/>
  <c r="J3320" i="1"/>
  <c r="A4691" i="1"/>
  <c r="G4691" i="1"/>
  <c r="H4691" i="1"/>
  <c r="I4691" i="1"/>
  <c r="J4691" i="1"/>
  <c r="M4691" i="1"/>
  <c r="A763" i="1"/>
  <c r="G763" i="1"/>
  <c r="H763" i="1"/>
  <c r="I763" i="1"/>
  <c r="J763" i="1"/>
  <c r="K763" i="1"/>
  <c r="M763" i="1"/>
  <c r="A2155" i="1"/>
  <c r="G2155" i="1"/>
  <c r="H2155" i="1"/>
  <c r="I2155" i="1"/>
  <c r="J2155" i="1"/>
  <c r="K2155" i="1"/>
  <c r="M2155" i="1"/>
  <c r="A764" i="1"/>
  <c r="G764" i="1"/>
  <c r="H764" i="1"/>
  <c r="I764" i="1"/>
  <c r="J764" i="1"/>
  <c r="K764" i="1"/>
  <c r="M764" i="1"/>
  <c r="A765" i="1"/>
  <c r="G765" i="1"/>
  <c r="H765" i="1"/>
  <c r="I765" i="1"/>
  <c r="J765" i="1"/>
  <c r="K765" i="1"/>
  <c r="M765" i="1"/>
  <c r="A766" i="1"/>
  <c r="G766" i="1"/>
  <c r="H766" i="1"/>
  <c r="I766" i="1"/>
  <c r="J766" i="1"/>
  <c r="K766" i="1"/>
  <c r="M766" i="1"/>
  <c r="A767" i="1"/>
  <c r="G767" i="1"/>
  <c r="H767" i="1"/>
  <c r="I767" i="1"/>
  <c r="J767" i="1"/>
  <c r="K767" i="1"/>
  <c r="M767" i="1"/>
  <c r="A768" i="1"/>
  <c r="G768" i="1"/>
  <c r="H768" i="1"/>
  <c r="I768" i="1"/>
  <c r="J768" i="1"/>
  <c r="K768" i="1"/>
  <c r="M768" i="1"/>
  <c r="A769" i="1"/>
  <c r="G769" i="1"/>
  <c r="H769" i="1"/>
  <c r="I769" i="1"/>
  <c r="J769" i="1"/>
  <c r="L769" i="1"/>
  <c r="M769" i="1"/>
  <c r="A770" i="1"/>
  <c r="G770" i="1"/>
  <c r="H770" i="1"/>
  <c r="I770" i="1"/>
  <c r="J770" i="1"/>
  <c r="K770" i="1"/>
  <c r="M770" i="1"/>
  <c r="A2156" i="1"/>
  <c r="G2156" i="1"/>
  <c r="H2156" i="1"/>
  <c r="I2156" i="1"/>
  <c r="J2156" i="1"/>
  <c r="K2156" i="1"/>
  <c r="M2156" i="1"/>
  <c r="A771" i="1"/>
  <c r="G771" i="1"/>
  <c r="H771" i="1"/>
  <c r="I771" i="1"/>
  <c r="J771" i="1"/>
  <c r="K771" i="1"/>
  <c r="M771" i="1"/>
  <c r="A772" i="1"/>
  <c r="G772" i="1"/>
  <c r="H772" i="1"/>
  <c r="I772" i="1"/>
  <c r="J772" i="1"/>
  <c r="K772" i="1"/>
  <c r="M772" i="1"/>
  <c r="A2157" i="1"/>
  <c r="G2157" i="1"/>
  <c r="H2157" i="1"/>
  <c r="I2157" i="1"/>
  <c r="J2157" i="1"/>
  <c r="A4602" i="1"/>
  <c r="G4602" i="1"/>
  <c r="H4602" i="1"/>
  <c r="I4602" i="1"/>
  <c r="J4602" i="1"/>
  <c r="K4602" i="1"/>
  <c r="M4602" i="1"/>
  <c r="A773" i="1"/>
  <c r="G773" i="1"/>
  <c r="H773" i="1"/>
  <c r="I773" i="1"/>
  <c r="J773" i="1"/>
  <c r="K773" i="1"/>
  <c r="M773" i="1"/>
  <c r="A3321" i="1"/>
  <c r="G3321" i="1"/>
  <c r="H3321" i="1"/>
  <c r="I3321" i="1"/>
  <c r="J3321" i="1"/>
  <c r="A774" i="1"/>
  <c r="G774" i="1"/>
  <c r="H774" i="1"/>
  <c r="I774" i="1"/>
  <c r="J774" i="1"/>
  <c r="M774" i="1"/>
  <c r="A775" i="1"/>
  <c r="G775" i="1"/>
  <c r="H775" i="1"/>
  <c r="I775" i="1"/>
  <c r="J775" i="1"/>
  <c r="K775" i="1"/>
  <c r="M775" i="1"/>
  <c r="A776" i="1"/>
  <c r="G776" i="1"/>
  <c r="H776" i="1"/>
  <c r="I776" i="1"/>
  <c r="J776" i="1"/>
  <c r="M776" i="1"/>
  <c r="A2158" i="1"/>
  <c r="G2158" i="1"/>
  <c r="H2158" i="1"/>
  <c r="I2158" i="1"/>
  <c r="J2158" i="1"/>
  <c r="A2781" i="1"/>
  <c r="G2781" i="1"/>
  <c r="H2781" i="1"/>
  <c r="I2781" i="1"/>
  <c r="J2781" i="1"/>
  <c r="K2781" i="1"/>
  <c r="M2781" i="1"/>
  <c r="A3322" i="1"/>
  <c r="G3322" i="1"/>
  <c r="H3322" i="1"/>
  <c r="I3322" i="1"/>
  <c r="J3322" i="1"/>
  <c r="K3322" i="1"/>
  <c r="M3322" i="1"/>
  <c r="A3323" i="1"/>
  <c r="G3323" i="1"/>
  <c r="H3323" i="1"/>
  <c r="I3323" i="1"/>
  <c r="J3323" i="1"/>
  <c r="A2159" i="1"/>
  <c r="G2159" i="1"/>
  <c r="H2159" i="1"/>
  <c r="I2159" i="1"/>
  <c r="J2159" i="1"/>
  <c r="M2159" i="1"/>
  <c r="A3324" i="1"/>
  <c r="G3324" i="1"/>
  <c r="H3324" i="1"/>
  <c r="I3324" i="1"/>
  <c r="J3324" i="1"/>
  <c r="K3324" i="1"/>
  <c r="M3324" i="1"/>
  <c r="A3325" i="1"/>
  <c r="G3325" i="1"/>
  <c r="H3325" i="1"/>
  <c r="I3325" i="1"/>
  <c r="J3325" i="1"/>
  <c r="A3326" i="1"/>
  <c r="G3326" i="1"/>
  <c r="H3326" i="1"/>
  <c r="I3326" i="1"/>
  <c r="J3326" i="1"/>
  <c r="A3327" i="1"/>
  <c r="G3327" i="1"/>
  <c r="H3327" i="1"/>
  <c r="I3327" i="1"/>
  <c r="J3327" i="1"/>
  <c r="K3327" i="1"/>
  <c r="M3327" i="1"/>
  <c r="A777" i="1"/>
  <c r="G777" i="1"/>
  <c r="H777" i="1"/>
  <c r="I777" i="1"/>
  <c r="J777" i="1"/>
  <c r="K777" i="1"/>
  <c r="M777" i="1"/>
  <c r="A3328" i="1"/>
  <c r="G3328" i="1"/>
  <c r="H3328" i="1"/>
  <c r="I3328" i="1"/>
  <c r="J3328" i="1"/>
  <c r="K3328" i="1"/>
  <c r="M3328" i="1"/>
  <c r="A2160" i="1"/>
  <c r="G2160" i="1"/>
  <c r="H2160" i="1"/>
  <c r="I2160" i="1"/>
  <c r="J2160" i="1"/>
  <c r="A2161" i="1"/>
  <c r="G2161" i="1"/>
  <c r="H2161" i="1"/>
  <c r="I2161" i="1"/>
  <c r="J2161" i="1"/>
  <c r="K2161" i="1"/>
  <c r="M2161" i="1"/>
  <c r="A2162" i="1"/>
  <c r="G2162" i="1"/>
  <c r="H2162" i="1"/>
  <c r="I2162" i="1"/>
  <c r="J2162" i="1"/>
  <c r="A56" i="1"/>
  <c r="G56" i="1"/>
  <c r="H56" i="1"/>
  <c r="I56" i="1"/>
  <c r="J56" i="1"/>
  <c r="K56" i="1"/>
  <c r="M56" i="1"/>
  <c r="A778" i="1"/>
  <c r="G778" i="1"/>
  <c r="H778" i="1"/>
  <c r="I778" i="1"/>
  <c r="J778" i="1"/>
  <c r="M778" i="1"/>
  <c r="A779" i="1"/>
  <c r="G779" i="1"/>
  <c r="H779" i="1"/>
  <c r="I779" i="1"/>
  <c r="J779" i="1"/>
  <c r="M779" i="1"/>
  <c r="A3329" i="1"/>
  <c r="G3329" i="1"/>
  <c r="H3329" i="1"/>
  <c r="I3329" i="1"/>
  <c r="J3329" i="1"/>
  <c r="A57" i="1"/>
  <c r="G57" i="1"/>
  <c r="H57" i="1"/>
  <c r="I57" i="1"/>
  <c r="J57" i="1"/>
  <c r="K57" i="1"/>
  <c r="M57" i="1"/>
  <c r="A3330" i="1"/>
  <c r="G3330" i="1"/>
  <c r="H3330" i="1"/>
  <c r="I3330" i="1"/>
  <c r="J3330" i="1"/>
  <c r="A3331" i="1"/>
  <c r="G3331" i="1"/>
  <c r="H3331" i="1"/>
  <c r="I3331" i="1"/>
  <c r="J3331" i="1"/>
  <c r="A780" i="1"/>
  <c r="G780" i="1"/>
  <c r="H780" i="1"/>
  <c r="I780" i="1"/>
  <c r="J780" i="1"/>
  <c r="K780" i="1"/>
  <c r="M780" i="1"/>
  <c r="A3332" i="1"/>
  <c r="G3332" i="1"/>
  <c r="H3332" i="1"/>
  <c r="I3332" i="1"/>
  <c r="J3332" i="1"/>
  <c r="A781" i="1"/>
  <c r="G781" i="1"/>
  <c r="H781" i="1"/>
  <c r="I781" i="1"/>
  <c r="J781" i="1"/>
  <c r="K781" i="1"/>
  <c r="M781" i="1"/>
  <c r="A782" i="1"/>
  <c r="G782" i="1"/>
  <c r="H782" i="1"/>
  <c r="I782" i="1"/>
  <c r="J782" i="1"/>
  <c r="K782" i="1"/>
  <c r="M782" i="1"/>
  <c r="A783" i="1"/>
  <c r="G783" i="1"/>
  <c r="H783" i="1"/>
  <c r="I783" i="1"/>
  <c r="J783" i="1"/>
  <c r="K783" i="1"/>
  <c r="M783" i="1"/>
  <c r="A784" i="1"/>
  <c r="G784" i="1"/>
  <c r="H784" i="1"/>
  <c r="I784" i="1"/>
  <c r="J784" i="1"/>
  <c r="K784" i="1"/>
  <c r="M784" i="1"/>
  <c r="A2163" i="1"/>
  <c r="G2163" i="1"/>
  <c r="H2163" i="1"/>
  <c r="I2163" i="1"/>
  <c r="J2163" i="1"/>
  <c r="A3333" i="1"/>
  <c r="G3333" i="1"/>
  <c r="H3333" i="1"/>
  <c r="I3333" i="1"/>
  <c r="J3333" i="1"/>
  <c r="A785" i="1"/>
  <c r="G785" i="1"/>
  <c r="H785" i="1"/>
  <c r="I785" i="1"/>
  <c r="J785" i="1"/>
  <c r="K785" i="1"/>
  <c r="M785" i="1"/>
  <c r="A3334" i="1"/>
  <c r="G3334" i="1"/>
  <c r="H3334" i="1"/>
  <c r="I3334" i="1"/>
  <c r="J3334" i="1"/>
  <c r="K3334" i="1"/>
  <c r="M3334" i="1"/>
  <c r="A3335" i="1"/>
  <c r="G3335" i="1"/>
  <c r="H3335" i="1"/>
  <c r="I3335" i="1"/>
  <c r="J3335" i="1"/>
  <c r="K3335" i="1"/>
  <c r="M3335" i="1"/>
  <c r="A2164" i="1"/>
  <c r="G2164" i="1"/>
  <c r="H2164" i="1"/>
  <c r="I2164" i="1"/>
  <c r="J2164" i="1"/>
  <c r="K2164" i="1"/>
  <c r="M2164" i="1"/>
  <c r="A4221" i="1"/>
  <c r="G4221" i="1"/>
  <c r="H4221" i="1"/>
  <c r="I4221" i="1"/>
  <c r="J4221" i="1"/>
  <c r="K4221" i="1"/>
  <c r="M4221" i="1"/>
  <c r="A786" i="1"/>
  <c r="G786" i="1"/>
  <c r="H786" i="1"/>
  <c r="I786" i="1"/>
  <c r="J786" i="1"/>
  <c r="K786" i="1"/>
  <c r="M786" i="1"/>
  <c r="A787" i="1"/>
  <c r="G787" i="1"/>
  <c r="H787" i="1"/>
  <c r="I787" i="1"/>
  <c r="J787" i="1"/>
  <c r="K787" i="1"/>
  <c r="M787" i="1"/>
  <c r="A3336" i="1"/>
  <c r="G3336" i="1"/>
  <c r="H3336" i="1"/>
  <c r="I3336" i="1"/>
  <c r="J3336" i="1"/>
  <c r="K3336" i="1"/>
  <c r="M3336" i="1"/>
  <c r="A58" i="1"/>
  <c r="G58" i="1"/>
  <c r="H58" i="1"/>
  <c r="I58" i="1"/>
  <c r="J58" i="1"/>
  <c r="K58" i="1"/>
  <c r="M58" i="1"/>
  <c r="A2165" i="1"/>
  <c r="G2165" i="1"/>
  <c r="H2165" i="1"/>
  <c r="I2165" i="1"/>
  <c r="J2165" i="1"/>
  <c r="K2165" i="1"/>
  <c r="M2165" i="1"/>
  <c r="A788" i="1"/>
  <c r="G788" i="1"/>
  <c r="H788" i="1"/>
  <c r="I788" i="1"/>
  <c r="J788" i="1"/>
  <c r="K788" i="1"/>
  <c r="M788" i="1"/>
  <c r="A3337" i="1"/>
  <c r="G3337" i="1"/>
  <c r="H3337" i="1"/>
  <c r="I3337" i="1"/>
  <c r="J3337" i="1"/>
  <c r="K3337" i="1"/>
  <c r="M3337" i="1"/>
  <c r="A789" i="1"/>
  <c r="G789" i="1"/>
  <c r="H789" i="1"/>
  <c r="I789" i="1"/>
  <c r="J789" i="1"/>
  <c r="K789" i="1"/>
  <c r="M789" i="1"/>
  <c r="A790" i="1"/>
  <c r="G790" i="1"/>
  <c r="H790" i="1"/>
  <c r="I790" i="1"/>
  <c r="J790" i="1"/>
  <c r="K790" i="1"/>
  <c r="M790" i="1"/>
  <c r="A3338" i="1"/>
  <c r="G3338" i="1"/>
  <c r="H3338" i="1"/>
  <c r="I3338" i="1"/>
  <c r="J3338" i="1"/>
  <c r="A791" i="1"/>
  <c r="G791" i="1"/>
  <c r="H791" i="1"/>
  <c r="I791" i="1"/>
  <c r="J791" i="1"/>
  <c r="K791" i="1"/>
  <c r="M791" i="1"/>
  <c r="A2166" i="1"/>
  <c r="G2166" i="1"/>
  <c r="H2166" i="1"/>
  <c r="I2166" i="1"/>
  <c r="J2166" i="1"/>
  <c r="A2167" i="1"/>
  <c r="G2167" i="1"/>
  <c r="H2167" i="1"/>
  <c r="I2167" i="1"/>
  <c r="J2167" i="1"/>
  <c r="A3339" i="1"/>
  <c r="G3339" i="1"/>
  <c r="H3339" i="1"/>
  <c r="I3339" i="1"/>
  <c r="J3339" i="1"/>
  <c r="A792" i="1"/>
  <c r="G792" i="1"/>
  <c r="H792" i="1"/>
  <c r="I792" i="1"/>
  <c r="J792" i="1"/>
  <c r="K792" i="1"/>
  <c r="M792" i="1"/>
  <c r="A2782" i="1"/>
  <c r="G2782" i="1"/>
  <c r="H2782" i="1"/>
  <c r="I2782" i="1"/>
  <c r="J2782" i="1"/>
  <c r="K2782" i="1"/>
  <c r="M2782" i="1"/>
  <c r="A2168" i="1"/>
  <c r="G2168" i="1"/>
  <c r="H2168" i="1"/>
  <c r="I2168" i="1"/>
  <c r="J2168" i="1"/>
  <c r="K2168" i="1"/>
  <c r="M2168" i="1"/>
  <c r="A59" i="1"/>
  <c r="G59" i="1"/>
  <c r="H59" i="1"/>
  <c r="I59" i="1"/>
  <c r="J59" i="1"/>
  <c r="A793" i="1"/>
  <c r="G793" i="1"/>
  <c r="H793" i="1"/>
  <c r="I793" i="1"/>
  <c r="J793" i="1"/>
  <c r="K793" i="1"/>
  <c r="M793" i="1"/>
  <c r="A794" i="1"/>
  <c r="G794" i="1"/>
  <c r="H794" i="1"/>
  <c r="I794" i="1"/>
  <c r="J794" i="1"/>
  <c r="K794" i="1"/>
  <c r="M794" i="1"/>
  <c r="A795" i="1"/>
  <c r="G795" i="1"/>
  <c r="H795" i="1"/>
  <c r="I795" i="1"/>
  <c r="J795" i="1"/>
  <c r="K795" i="1"/>
  <c r="M795" i="1"/>
  <c r="A4692" i="1"/>
  <c r="G4692" i="1"/>
  <c r="H4692" i="1"/>
  <c r="I4692" i="1"/>
  <c r="J4692" i="1"/>
  <c r="M4692" i="1"/>
  <c r="A796" i="1"/>
  <c r="G796" i="1"/>
  <c r="H796" i="1"/>
  <c r="I796" i="1"/>
  <c r="J796" i="1"/>
  <c r="K796" i="1"/>
  <c r="M796" i="1"/>
  <c r="A2169" i="1"/>
  <c r="G2169" i="1"/>
  <c r="H2169" i="1"/>
  <c r="I2169" i="1"/>
  <c r="J2169" i="1"/>
  <c r="K2169" i="1"/>
  <c r="M2169" i="1"/>
  <c r="A797" i="1"/>
  <c r="G797" i="1"/>
  <c r="H797" i="1"/>
  <c r="I797" i="1"/>
  <c r="J797" i="1"/>
  <c r="L797" i="1"/>
  <c r="M797" i="1"/>
  <c r="A2170" i="1"/>
  <c r="G2170" i="1"/>
  <c r="H2170" i="1"/>
  <c r="I2170" i="1"/>
  <c r="J2170" i="1"/>
  <c r="K2170" i="1"/>
  <c r="M2170" i="1"/>
  <c r="A4159" i="1"/>
  <c r="G4159" i="1"/>
  <c r="H4159" i="1"/>
  <c r="I4159" i="1"/>
  <c r="J4159" i="1"/>
  <c r="K4159" i="1"/>
  <c r="M4159" i="1"/>
  <c r="A60" i="1"/>
  <c r="G60" i="1"/>
  <c r="H60" i="1"/>
  <c r="I60" i="1"/>
  <c r="J60" i="1"/>
  <c r="K60" i="1"/>
  <c r="M60" i="1"/>
  <c r="A2171" i="1"/>
  <c r="G2171" i="1"/>
  <c r="H2171" i="1"/>
  <c r="I2171" i="1"/>
  <c r="J2171" i="1"/>
  <c r="K2171" i="1"/>
  <c r="M2171" i="1"/>
  <c r="A4441" i="1"/>
  <c r="G4441" i="1"/>
  <c r="H4441" i="1"/>
  <c r="I4441" i="1"/>
  <c r="J4441" i="1"/>
  <c r="K4441" i="1"/>
  <c r="M4441" i="1"/>
  <c r="A798" i="1"/>
  <c r="G798" i="1"/>
  <c r="H798" i="1"/>
  <c r="I798" i="1"/>
  <c r="J798" i="1"/>
  <c r="K798" i="1"/>
  <c r="M798" i="1"/>
  <c r="A799" i="1"/>
  <c r="G799" i="1"/>
  <c r="H799" i="1"/>
  <c r="I799" i="1"/>
  <c r="J799" i="1"/>
  <c r="K799" i="1"/>
  <c r="M799" i="1"/>
  <c r="A800" i="1"/>
  <c r="G800" i="1"/>
  <c r="H800" i="1"/>
  <c r="I800" i="1"/>
  <c r="J800" i="1"/>
  <c r="K800" i="1"/>
  <c r="M800" i="1"/>
  <c r="A3340" i="1"/>
  <c r="G3340" i="1"/>
  <c r="H3340" i="1"/>
  <c r="I3340" i="1"/>
  <c r="J3340" i="1"/>
  <c r="K3340" i="1"/>
  <c r="M3340" i="1"/>
  <c r="A3341" i="1"/>
  <c r="G3341" i="1"/>
  <c r="H3341" i="1"/>
  <c r="I3341" i="1"/>
  <c r="J3341" i="1"/>
  <c r="K3341" i="1"/>
  <c r="M3341" i="1"/>
  <c r="A3342" i="1"/>
  <c r="G3342" i="1"/>
  <c r="H3342" i="1"/>
  <c r="I3342" i="1"/>
  <c r="J3342" i="1"/>
  <c r="K3342" i="1"/>
  <c r="M3342" i="1"/>
  <c r="A4442" i="1"/>
  <c r="G4442" i="1"/>
  <c r="H4442" i="1"/>
  <c r="I4442" i="1"/>
  <c r="J4442" i="1"/>
  <c r="K4442" i="1"/>
  <c r="M4442" i="1"/>
  <c r="A4693" i="1"/>
  <c r="G4693" i="1"/>
  <c r="H4693" i="1"/>
  <c r="I4693" i="1"/>
  <c r="J4693" i="1"/>
  <c r="M4693" i="1"/>
  <c r="A3343" i="1"/>
  <c r="G3343" i="1"/>
  <c r="H3343" i="1"/>
  <c r="I3343" i="1"/>
  <c r="J3343" i="1"/>
  <c r="K3343" i="1"/>
  <c r="M3343" i="1"/>
  <c r="A2172" i="1"/>
  <c r="G2172" i="1"/>
  <c r="H2172" i="1"/>
  <c r="I2172" i="1"/>
  <c r="J2172" i="1"/>
  <c r="A4813" i="1"/>
  <c r="G4813" i="1"/>
  <c r="H4813" i="1"/>
  <c r="I4813" i="1"/>
  <c r="J4813" i="1"/>
  <c r="M4813" i="1"/>
  <c r="A3344" i="1"/>
  <c r="G3344" i="1"/>
  <c r="H3344" i="1"/>
  <c r="I3344" i="1"/>
  <c r="J3344" i="1"/>
  <c r="A3345" i="1"/>
  <c r="G3345" i="1"/>
  <c r="H3345" i="1"/>
  <c r="I3345" i="1"/>
  <c r="J3345" i="1"/>
  <c r="A2854" i="1"/>
  <c r="G2854" i="1"/>
  <c r="H2854" i="1"/>
  <c r="I2854" i="1"/>
  <c r="J2854" i="1"/>
  <c r="K2854" i="1"/>
  <c r="M2854" i="1"/>
  <c r="A3346" i="1"/>
  <c r="G3346" i="1"/>
  <c r="H3346" i="1"/>
  <c r="I3346" i="1"/>
  <c r="J3346" i="1"/>
  <c r="K3346" i="1"/>
  <c r="M3346" i="1"/>
  <c r="A3347" i="1"/>
  <c r="G3347" i="1"/>
  <c r="H3347" i="1"/>
  <c r="I3347" i="1"/>
  <c r="J3347" i="1"/>
  <c r="K3347" i="1"/>
  <c r="M3347" i="1"/>
  <c r="A3348" i="1"/>
  <c r="G3348" i="1"/>
  <c r="H3348" i="1"/>
  <c r="I3348" i="1"/>
  <c r="J3348" i="1"/>
  <c r="K3348" i="1"/>
  <c r="M3348" i="1"/>
  <c r="A3349" i="1"/>
  <c r="G3349" i="1"/>
  <c r="H3349" i="1"/>
  <c r="I3349" i="1"/>
  <c r="J3349" i="1"/>
  <c r="A801" i="1"/>
  <c r="G801" i="1"/>
  <c r="H801" i="1"/>
  <c r="I801" i="1"/>
  <c r="J801" i="1"/>
  <c r="M801" i="1"/>
  <c r="A4443" i="1"/>
  <c r="G4443" i="1"/>
  <c r="H4443" i="1"/>
  <c r="I4443" i="1"/>
  <c r="J4443" i="1"/>
  <c r="M4443" i="1"/>
  <c r="A2173" i="1"/>
  <c r="G2173" i="1"/>
  <c r="H2173" i="1"/>
  <c r="I2173" i="1"/>
  <c r="J2173" i="1"/>
  <c r="K2173" i="1"/>
  <c r="M2173" i="1"/>
  <c r="A3350" i="1"/>
  <c r="G3350" i="1"/>
  <c r="H3350" i="1"/>
  <c r="I3350" i="1"/>
  <c r="J3350" i="1"/>
  <c r="A2855" i="1"/>
  <c r="G2855" i="1"/>
  <c r="H2855" i="1"/>
  <c r="I2855" i="1"/>
  <c r="J2855" i="1"/>
  <c r="K2855" i="1"/>
  <c r="M2855" i="1"/>
  <c r="A4603" i="1"/>
  <c r="G4603" i="1"/>
  <c r="H4603" i="1"/>
  <c r="I4603" i="1"/>
  <c r="J4603" i="1"/>
  <c r="A802" i="1"/>
  <c r="G802" i="1"/>
  <c r="H802" i="1"/>
  <c r="I802" i="1"/>
  <c r="J802" i="1"/>
  <c r="M802" i="1"/>
  <c r="A3351" i="1"/>
  <c r="G3351" i="1"/>
  <c r="H3351" i="1"/>
  <c r="I3351" i="1"/>
  <c r="J3351" i="1"/>
  <c r="K3351" i="1"/>
  <c r="M3351" i="1"/>
  <c r="A3352" i="1"/>
  <c r="G3352" i="1"/>
  <c r="H3352" i="1"/>
  <c r="I3352" i="1"/>
  <c r="J3352" i="1"/>
  <c r="K3352" i="1"/>
  <c r="M3352" i="1"/>
  <c r="A803" i="1"/>
  <c r="G803" i="1"/>
  <c r="H803" i="1"/>
  <c r="I803" i="1"/>
  <c r="J803" i="1"/>
  <c r="K803" i="1"/>
  <c r="M803" i="1"/>
  <c r="A804" i="1"/>
  <c r="G804" i="1"/>
  <c r="H804" i="1"/>
  <c r="I804" i="1"/>
  <c r="J804" i="1"/>
  <c r="K804" i="1"/>
  <c r="M804" i="1"/>
  <c r="A2174" i="1"/>
  <c r="G2174" i="1"/>
  <c r="H2174" i="1"/>
  <c r="I2174" i="1"/>
  <c r="J2174" i="1"/>
  <c r="K2174" i="1"/>
  <c r="M2174" i="1"/>
  <c r="A805" i="1"/>
  <c r="G805" i="1"/>
  <c r="H805" i="1"/>
  <c r="I805" i="1"/>
  <c r="J805" i="1"/>
  <c r="K805" i="1"/>
  <c r="M805" i="1"/>
  <c r="A4444" i="1"/>
  <c r="G4444" i="1"/>
  <c r="H4444" i="1"/>
  <c r="I4444" i="1"/>
  <c r="J4444" i="1"/>
  <c r="K4444" i="1"/>
  <c r="M4444" i="1"/>
  <c r="A806" i="1"/>
  <c r="G806" i="1"/>
  <c r="H806" i="1"/>
  <c r="I806" i="1"/>
  <c r="J806" i="1"/>
  <c r="K806" i="1"/>
  <c r="M806" i="1"/>
  <c r="A61" i="1"/>
  <c r="G61" i="1"/>
  <c r="H61" i="1"/>
  <c r="I61" i="1"/>
  <c r="J61" i="1"/>
  <c r="A2175" i="1"/>
  <c r="G2175" i="1"/>
  <c r="H2175" i="1"/>
  <c r="I2175" i="1"/>
  <c r="J2175" i="1"/>
  <c r="A807" i="1"/>
  <c r="G807" i="1"/>
  <c r="H807" i="1"/>
  <c r="I807" i="1"/>
  <c r="J807" i="1"/>
  <c r="M807" i="1"/>
  <c r="A3353" i="1"/>
  <c r="G3353" i="1"/>
  <c r="H3353" i="1"/>
  <c r="I3353" i="1"/>
  <c r="J3353" i="1"/>
  <c r="K3353" i="1"/>
  <c r="M3353" i="1"/>
  <c r="A3354" i="1"/>
  <c r="G3354" i="1"/>
  <c r="H3354" i="1"/>
  <c r="I3354" i="1"/>
  <c r="J3354" i="1"/>
  <c r="K3354" i="1"/>
  <c r="M3354" i="1"/>
  <c r="A808" i="1"/>
  <c r="G808" i="1"/>
  <c r="H808" i="1"/>
  <c r="I808" i="1"/>
  <c r="J808" i="1"/>
  <c r="K808" i="1"/>
  <c r="M808" i="1"/>
  <c r="A4160" i="1"/>
  <c r="G4160" i="1"/>
  <c r="H4160" i="1"/>
  <c r="I4160" i="1"/>
  <c r="J4160" i="1"/>
  <c r="K4160" i="1"/>
  <c r="M4160" i="1"/>
  <c r="A3355" i="1"/>
  <c r="G3355" i="1"/>
  <c r="H3355" i="1"/>
  <c r="I3355" i="1"/>
  <c r="J3355" i="1"/>
  <c r="K3355" i="1"/>
  <c r="M3355" i="1"/>
  <c r="A809" i="1"/>
  <c r="G809" i="1"/>
  <c r="H809" i="1"/>
  <c r="I809" i="1"/>
  <c r="J809" i="1"/>
  <c r="K809" i="1"/>
  <c r="M809" i="1"/>
  <c r="A2176" i="1"/>
  <c r="G2176" i="1"/>
  <c r="H2176" i="1"/>
  <c r="I2176" i="1"/>
  <c r="J2176" i="1"/>
  <c r="K2176" i="1"/>
  <c r="M2176" i="1"/>
  <c r="A3356" i="1"/>
  <c r="G3356" i="1"/>
  <c r="H3356" i="1"/>
  <c r="I3356" i="1"/>
  <c r="J3356" i="1"/>
  <c r="A2177" i="1"/>
  <c r="G2177" i="1"/>
  <c r="H2177" i="1"/>
  <c r="I2177" i="1"/>
  <c r="J2177" i="1"/>
  <c r="K2177" i="1"/>
  <c r="M2177" i="1"/>
  <c r="A810" i="1"/>
  <c r="G810" i="1"/>
  <c r="H810" i="1"/>
  <c r="I810" i="1"/>
  <c r="J810" i="1"/>
  <c r="M810" i="1"/>
  <c r="A811" i="1"/>
  <c r="G811" i="1"/>
  <c r="H811" i="1"/>
  <c r="I811" i="1"/>
  <c r="J811" i="1"/>
  <c r="K811" i="1"/>
  <c r="M811" i="1"/>
  <c r="A2178" i="1"/>
  <c r="G2178" i="1"/>
  <c r="H2178" i="1"/>
  <c r="I2178" i="1"/>
  <c r="J2178" i="1"/>
  <c r="K2178" i="1"/>
  <c r="M2178" i="1"/>
  <c r="A3357" i="1"/>
  <c r="G3357" i="1"/>
  <c r="H3357" i="1"/>
  <c r="I3357" i="1"/>
  <c r="J3357" i="1"/>
  <c r="A4604" i="1"/>
  <c r="G4604" i="1"/>
  <c r="H4604" i="1"/>
  <c r="I4604" i="1"/>
  <c r="J4604" i="1"/>
  <c r="A3358" i="1"/>
  <c r="G3358" i="1"/>
  <c r="H3358" i="1"/>
  <c r="I3358" i="1"/>
  <c r="J3358" i="1"/>
  <c r="A2179" i="1"/>
  <c r="G2179" i="1"/>
  <c r="H2179" i="1"/>
  <c r="I2179" i="1"/>
  <c r="J2179" i="1"/>
  <c r="K2179" i="1"/>
  <c r="M2179" i="1"/>
  <c r="A62" i="1"/>
  <c r="G62" i="1"/>
  <c r="H62" i="1"/>
  <c r="I62" i="1"/>
  <c r="J62" i="1"/>
  <c r="K62" i="1"/>
  <c r="M62" i="1"/>
  <c r="A63" i="1"/>
  <c r="G63" i="1"/>
  <c r="H63" i="1"/>
  <c r="I63" i="1"/>
  <c r="J63" i="1"/>
  <c r="K63" i="1"/>
  <c r="M63" i="1"/>
  <c r="A812" i="1"/>
  <c r="G812" i="1"/>
  <c r="H812" i="1"/>
  <c r="I812" i="1"/>
  <c r="J812" i="1"/>
  <c r="K812" i="1"/>
  <c r="M812" i="1"/>
  <c r="A2180" i="1"/>
  <c r="G2180" i="1"/>
  <c r="H2180" i="1"/>
  <c r="I2180" i="1"/>
  <c r="J2180" i="1"/>
  <c r="K2180" i="1"/>
  <c r="M2180" i="1"/>
  <c r="A813" i="1"/>
  <c r="G813" i="1"/>
  <c r="H813" i="1"/>
  <c r="I813" i="1"/>
  <c r="J813" i="1"/>
  <c r="L813" i="1"/>
  <c r="M813" i="1"/>
  <c r="A3359" i="1"/>
  <c r="G3359" i="1"/>
  <c r="H3359" i="1"/>
  <c r="I3359" i="1"/>
  <c r="J3359" i="1"/>
  <c r="A3360" i="1"/>
  <c r="G3360" i="1"/>
  <c r="H3360" i="1"/>
  <c r="I3360" i="1"/>
  <c r="J3360" i="1"/>
  <c r="K3360" i="1"/>
  <c r="M3360" i="1"/>
  <c r="A814" i="1"/>
  <c r="G814" i="1"/>
  <c r="H814" i="1"/>
  <c r="I814" i="1"/>
  <c r="J814" i="1"/>
  <c r="M814" i="1"/>
  <c r="A815" i="1"/>
  <c r="G815" i="1"/>
  <c r="H815" i="1"/>
  <c r="I815" i="1"/>
  <c r="J815" i="1"/>
  <c r="K815" i="1"/>
  <c r="M815" i="1"/>
  <c r="A4222" i="1"/>
  <c r="G4222" i="1"/>
  <c r="H4222" i="1"/>
  <c r="I4222" i="1"/>
  <c r="J4222" i="1"/>
  <c r="K4222" i="1"/>
  <c r="M4222" i="1"/>
  <c r="A4223" i="1"/>
  <c r="G4223" i="1"/>
  <c r="H4223" i="1"/>
  <c r="I4223" i="1"/>
  <c r="J4223" i="1"/>
  <c r="A816" i="1"/>
  <c r="G816" i="1"/>
  <c r="H816" i="1"/>
  <c r="I816" i="1"/>
  <c r="J816" i="1"/>
  <c r="L816" i="1"/>
  <c r="M816" i="1"/>
  <c r="A3361" i="1"/>
  <c r="G3361" i="1"/>
  <c r="H3361" i="1"/>
  <c r="I3361" i="1"/>
  <c r="J3361" i="1"/>
  <c r="K3361" i="1"/>
  <c r="M3361" i="1"/>
  <c r="A3362" i="1"/>
  <c r="G3362" i="1"/>
  <c r="H3362" i="1"/>
  <c r="I3362" i="1"/>
  <c r="J3362" i="1"/>
  <c r="K3362" i="1"/>
  <c r="M3362" i="1"/>
  <c r="A2181" i="1"/>
  <c r="G2181" i="1"/>
  <c r="H2181" i="1"/>
  <c r="I2181" i="1"/>
  <c r="J2181" i="1"/>
  <c r="K2181" i="1"/>
  <c r="M2181" i="1"/>
  <c r="A817" i="1"/>
  <c r="G817" i="1"/>
  <c r="H817" i="1"/>
  <c r="I817" i="1"/>
  <c r="J817" i="1"/>
  <c r="K817" i="1"/>
  <c r="M817" i="1"/>
  <c r="A2182" i="1"/>
  <c r="G2182" i="1"/>
  <c r="H2182" i="1"/>
  <c r="I2182" i="1"/>
  <c r="J2182" i="1"/>
  <c r="K2182" i="1"/>
  <c r="M2182" i="1"/>
  <c r="A818" i="1"/>
  <c r="G818" i="1"/>
  <c r="H818" i="1"/>
  <c r="I818" i="1"/>
  <c r="J818" i="1"/>
  <c r="K818" i="1"/>
  <c r="M818" i="1"/>
  <c r="A3363" i="1"/>
  <c r="G3363" i="1"/>
  <c r="H3363" i="1"/>
  <c r="I3363" i="1"/>
  <c r="J3363" i="1"/>
  <c r="K3363" i="1"/>
  <c r="M3363" i="1"/>
  <c r="A3364" i="1"/>
  <c r="G3364" i="1"/>
  <c r="H3364" i="1"/>
  <c r="I3364" i="1"/>
  <c r="J3364" i="1"/>
  <c r="K3364" i="1"/>
  <c r="M3364" i="1"/>
  <c r="A3365" i="1"/>
  <c r="G3365" i="1"/>
  <c r="H3365" i="1"/>
  <c r="I3365" i="1"/>
  <c r="J3365" i="1"/>
  <c r="A3366" i="1"/>
  <c r="G3366" i="1"/>
  <c r="H3366" i="1"/>
  <c r="I3366" i="1"/>
  <c r="J3366" i="1"/>
  <c r="A3367" i="1"/>
  <c r="G3367" i="1"/>
  <c r="H3367" i="1"/>
  <c r="I3367" i="1"/>
  <c r="J3367" i="1"/>
  <c r="A819" i="1"/>
  <c r="G819" i="1"/>
  <c r="H819" i="1"/>
  <c r="I819" i="1"/>
  <c r="J819" i="1"/>
  <c r="K819" i="1"/>
  <c r="M819" i="1"/>
  <c r="A820" i="1"/>
  <c r="G820" i="1"/>
  <c r="H820" i="1"/>
  <c r="I820" i="1"/>
  <c r="J820" i="1"/>
  <c r="K820" i="1"/>
  <c r="M820" i="1"/>
  <c r="A2856" i="1"/>
  <c r="G2856" i="1"/>
  <c r="H2856" i="1"/>
  <c r="I2856" i="1"/>
  <c r="J2856" i="1"/>
  <c r="K2856" i="1"/>
  <c r="M2856" i="1"/>
  <c r="A4694" i="1"/>
  <c r="G4694" i="1"/>
  <c r="H4694" i="1"/>
  <c r="I4694" i="1"/>
  <c r="J4694" i="1"/>
  <c r="M4694" i="1"/>
  <c r="A3368" i="1"/>
  <c r="G3368" i="1"/>
  <c r="H3368" i="1"/>
  <c r="I3368" i="1"/>
  <c r="J3368" i="1"/>
  <c r="A821" i="1"/>
  <c r="G821" i="1"/>
  <c r="H821" i="1"/>
  <c r="I821" i="1"/>
  <c r="J821" i="1"/>
  <c r="K821" i="1"/>
  <c r="M821" i="1"/>
  <c r="A2183" i="1"/>
  <c r="G2183" i="1"/>
  <c r="H2183" i="1"/>
  <c r="I2183" i="1"/>
  <c r="J2183" i="1"/>
  <c r="K2183" i="1"/>
  <c r="M2183" i="1"/>
  <c r="A3369" i="1"/>
  <c r="G3369" i="1"/>
  <c r="H3369" i="1"/>
  <c r="I3369" i="1"/>
  <c r="J3369" i="1"/>
  <c r="K3369" i="1"/>
  <c r="M3369" i="1"/>
  <c r="A822" i="1"/>
  <c r="G822" i="1"/>
  <c r="H822" i="1"/>
  <c r="I822" i="1"/>
  <c r="J822" i="1"/>
  <c r="K822" i="1"/>
  <c r="M822" i="1"/>
  <c r="A823" i="1"/>
  <c r="G823" i="1"/>
  <c r="H823" i="1"/>
  <c r="I823" i="1"/>
  <c r="J823" i="1"/>
  <c r="M823" i="1"/>
  <c r="A2857" i="1"/>
  <c r="G2857" i="1"/>
  <c r="H2857" i="1"/>
  <c r="I2857" i="1"/>
  <c r="J2857" i="1"/>
  <c r="K2857" i="1"/>
  <c r="M2857" i="1"/>
  <c r="A64" i="1"/>
  <c r="G64" i="1"/>
  <c r="H64" i="1"/>
  <c r="I64" i="1"/>
  <c r="J64" i="1"/>
  <c r="K64" i="1"/>
  <c r="M64" i="1"/>
  <c r="A2184" i="1"/>
  <c r="G2184" i="1"/>
  <c r="H2184" i="1"/>
  <c r="I2184" i="1"/>
  <c r="J2184" i="1"/>
  <c r="A2185" i="1"/>
  <c r="G2185" i="1"/>
  <c r="H2185" i="1"/>
  <c r="I2185" i="1"/>
  <c r="J2185" i="1"/>
  <c r="A2186" i="1"/>
  <c r="G2186" i="1"/>
  <c r="H2186" i="1"/>
  <c r="I2186" i="1"/>
  <c r="J2186" i="1"/>
  <c r="K2186" i="1"/>
  <c r="M2186" i="1"/>
  <c r="A4445" i="1"/>
  <c r="G4445" i="1"/>
  <c r="H4445" i="1"/>
  <c r="I4445" i="1"/>
  <c r="J4445" i="1"/>
  <c r="K4445" i="1"/>
  <c r="M4445" i="1"/>
  <c r="A824" i="1"/>
  <c r="G824" i="1"/>
  <c r="H824" i="1"/>
  <c r="I824" i="1"/>
  <c r="J824" i="1"/>
  <c r="K824" i="1"/>
  <c r="M824" i="1"/>
  <c r="A2187" i="1"/>
  <c r="G2187" i="1"/>
  <c r="H2187" i="1"/>
  <c r="I2187" i="1"/>
  <c r="J2187" i="1"/>
  <c r="A3370" i="1"/>
  <c r="G3370" i="1"/>
  <c r="H3370" i="1"/>
  <c r="I3370" i="1"/>
  <c r="J3370" i="1"/>
  <c r="K3370" i="1"/>
  <c r="M3370" i="1"/>
  <c r="A825" i="1"/>
  <c r="G825" i="1"/>
  <c r="H825" i="1"/>
  <c r="I825" i="1"/>
  <c r="J825" i="1"/>
  <c r="M825" i="1"/>
  <c r="A4446" i="1"/>
  <c r="G4446" i="1"/>
  <c r="H4446" i="1"/>
  <c r="I4446" i="1"/>
  <c r="J4446" i="1"/>
  <c r="K4446" i="1"/>
  <c r="M4446" i="1"/>
  <c r="A4447" i="1"/>
  <c r="G4447" i="1"/>
  <c r="H4447" i="1"/>
  <c r="I4447" i="1"/>
  <c r="J4447" i="1"/>
  <c r="K4447" i="1"/>
  <c r="M4447" i="1"/>
  <c r="A3371" i="1"/>
  <c r="G3371" i="1"/>
  <c r="H3371" i="1"/>
  <c r="I3371" i="1"/>
  <c r="J3371" i="1"/>
  <c r="K3371" i="1"/>
  <c r="M3371" i="1"/>
  <c r="A3372" i="1"/>
  <c r="G3372" i="1"/>
  <c r="H3372" i="1"/>
  <c r="I3372" i="1"/>
  <c r="J3372" i="1"/>
  <c r="K3372" i="1"/>
  <c r="M3372" i="1"/>
  <c r="A3373" i="1"/>
  <c r="G3373" i="1"/>
  <c r="H3373" i="1"/>
  <c r="I3373" i="1"/>
  <c r="J3373" i="1"/>
  <c r="K3373" i="1"/>
  <c r="M3373" i="1"/>
  <c r="A4224" i="1"/>
  <c r="G4224" i="1"/>
  <c r="H4224" i="1"/>
  <c r="I4224" i="1"/>
  <c r="J4224" i="1"/>
  <c r="A3374" i="1"/>
  <c r="G3374" i="1"/>
  <c r="H3374" i="1"/>
  <c r="I3374" i="1"/>
  <c r="J3374" i="1"/>
  <c r="K3374" i="1"/>
  <c r="M3374" i="1"/>
  <c r="A3375" i="1"/>
  <c r="G3375" i="1"/>
  <c r="H3375" i="1"/>
  <c r="I3375" i="1"/>
  <c r="J3375" i="1"/>
  <c r="A4448" i="1"/>
  <c r="G4448" i="1"/>
  <c r="H4448" i="1"/>
  <c r="I4448" i="1"/>
  <c r="J4448" i="1"/>
  <c r="K4448" i="1"/>
  <c r="M4448" i="1"/>
  <c r="A2188" i="1"/>
  <c r="G2188" i="1"/>
  <c r="H2188" i="1"/>
  <c r="I2188" i="1"/>
  <c r="J2188" i="1"/>
  <c r="K2188" i="1"/>
  <c r="M2188" i="1"/>
  <c r="A4449" i="1"/>
  <c r="G4449" i="1"/>
  <c r="H4449" i="1"/>
  <c r="I4449" i="1"/>
  <c r="J4449" i="1"/>
  <c r="K4449" i="1"/>
  <c r="M4449" i="1"/>
  <c r="A4225" i="1"/>
  <c r="G4225" i="1"/>
  <c r="H4225" i="1"/>
  <c r="I4225" i="1"/>
  <c r="J4225" i="1"/>
  <c r="A4226" i="1"/>
  <c r="G4226" i="1"/>
  <c r="H4226" i="1"/>
  <c r="I4226" i="1"/>
  <c r="J4226" i="1"/>
  <c r="K4226" i="1"/>
  <c r="M4226" i="1"/>
  <c r="A826" i="1"/>
  <c r="G826" i="1"/>
  <c r="H826" i="1"/>
  <c r="I826" i="1"/>
  <c r="J826" i="1"/>
  <c r="L826" i="1"/>
  <c r="M826" i="1"/>
  <c r="A3376" i="1"/>
  <c r="G3376" i="1"/>
  <c r="H3376" i="1"/>
  <c r="I3376" i="1"/>
  <c r="J3376" i="1"/>
  <c r="A3377" i="1"/>
  <c r="G3377" i="1"/>
  <c r="H3377" i="1"/>
  <c r="I3377" i="1"/>
  <c r="J3377" i="1"/>
  <c r="K3377" i="1"/>
  <c r="M3377" i="1"/>
  <c r="A827" i="1"/>
  <c r="G827" i="1"/>
  <c r="H827" i="1"/>
  <c r="I827" i="1"/>
  <c r="J827" i="1"/>
  <c r="K827" i="1"/>
  <c r="M827" i="1"/>
  <c r="A828" i="1"/>
  <c r="G828" i="1"/>
  <c r="H828" i="1"/>
  <c r="I828" i="1"/>
  <c r="J828" i="1"/>
  <c r="K828" i="1"/>
  <c r="M828" i="1"/>
  <c r="A2189" i="1"/>
  <c r="G2189" i="1"/>
  <c r="H2189" i="1"/>
  <c r="I2189" i="1"/>
  <c r="J2189" i="1"/>
  <c r="K2189" i="1"/>
  <c r="M2189" i="1"/>
  <c r="A3378" i="1"/>
  <c r="G3378" i="1"/>
  <c r="H3378" i="1"/>
  <c r="I3378" i="1"/>
  <c r="J3378" i="1"/>
  <c r="K3378" i="1"/>
  <c r="M3378" i="1"/>
  <c r="A829" i="1"/>
  <c r="G829" i="1"/>
  <c r="H829" i="1"/>
  <c r="I829" i="1"/>
  <c r="J829" i="1"/>
  <c r="K829" i="1"/>
  <c r="M829" i="1"/>
  <c r="A830" i="1"/>
  <c r="G830" i="1"/>
  <c r="H830" i="1"/>
  <c r="I830" i="1"/>
  <c r="J830" i="1"/>
  <c r="K830" i="1"/>
  <c r="M830" i="1"/>
  <c r="A831" i="1"/>
  <c r="G831" i="1"/>
  <c r="H831" i="1"/>
  <c r="I831" i="1"/>
  <c r="J831" i="1"/>
  <c r="K831" i="1"/>
  <c r="M831" i="1"/>
  <c r="A832" i="1"/>
  <c r="G832" i="1"/>
  <c r="H832" i="1"/>
  <c r="I832" i="1"/>
  <c r="J832" i="1"/>
  <c r="K832" i="1"/>
  <c r="M832" i="1"/>
  <c r="A65" i="1"/>
  <c r="G65" i="1"/>
  <c r="H65" i="1"/>
  <c r="I65" i="1"/>
  <c r="J65" i="1"/>
  <c r="K65" i="1"/>
  <c r="M65" i="1"/>
  <c r="A4450" i="1"/>
  <c r="G4450" i="1"/>
  <c r="H4450" i="1"/>
  <c r="I4450" i="1"/>
  <c r="J4450" i="1"/>
  <c r="K4450" i="1"/>
  <c r="M4450" i="1"/>
  <c r="A3379" i="1"/>
  <c r="G3379" i="1"/>
  <c r="H3379" i="1"/>
  <c r="I3379" i="1"/>
  <c r="J3379" i="1"/>
  <c r="K3379" i="1"/>
  <c r="M3379" i="1"/>
  <c r="A3380" i="1"/>
  <c r="G3380" i="1"/>
  <c r="H3380" i="1"/>
  <c r="I3380" i="1"/>
  <c r="J3380" i="1"/>
  <c r="K3380" i="1"/>
  <c r="M3380" i="1"/>
  <c r="A3381" i="1"/>
  <c r="G3381" i="1"/>
  <c r="H3381" i="1"/>
  <c r="I3381" i="1"/>
  <c r="J3381" i="1"/>
  <c r="K3381" i="1"/>
  <c r="M3381" i="1"/>
  <c r="A4451" i="1"/>
  <c r="G4451" i="1"/>
  <c r="H4451" i="1"/>
  <c r="I4451" i="1"/>
  <c r="J4451" i="1"/>
  <c r="K4451" i="1"/>
  <c r="M4451" i="1"/>
  <c r="A2190" i="1"/>
  <c r="G2190" i="1"/>
  <c r="H2190" i="1"/>
  <c r="I2190" i="1"/>
  <c r="J2190" i="1"/>
  <c r="K2190" i="1"/>
  <c r="M2190" i="1"/>
  <c r="A4814" i="1"/>
  <c r="G4814" i="1"/>
  <c r="H4814" i="1"/>
  <c r="I4814" i="1"/>
  <c r="J4814" i="1"/>
  <c r="K4814" i="1"/>
  <c r="L4814" i="1"/>
  <c r="M4814" i="1"/>
  <c r="A2191" i="1"/>
  <c r="G2191" i="1"/>
  <c r="H2191" i="1"/>
  <c r="I2191" i="1"/>
  <c r="J2191" i="1"/>
  <c r="K2191" i="1"/>
  <c r="M2191" i="1"/>
  <c r="A2192" i="1"/>
  <c r="G2192" i="1"/>
  <c r="H2192" i="1"/>
  <c r="I2192" i="1"/>
  <c r="J2192" i="1"/>
  <c r="K2192" i="1"/>
  <c r="M2192" i="1"/>
  <c r="A833" i="1"/>
  <c r="G833" i="1"/>
  <c r="H833" i="1"/>
  <c r="I833" i="1"/>
  <c r="J833" i="1"/>
  <c r="K833" i="1"/>
  <c r="M833" i="1"/>
  <c r="A3382" i="1"/>
  <c r="G3382" i="1"/>
  <c r="H3382" i="1"/>
  <c r="I3382" i="1"/>
  <c r="J3382" i="1"/>
  <c r="K3382" i="1"/>
  <c r="M3382" i="1"/>
  <c r="A2193" i="1"/>
  <c r="G2193" i="1"/>
  <c r="H2193" i="1"/>
  <c r="I2193" i="1"/>
  <c r="J2193" i="1"/>
  <c r="A2194" i="1"/>
  <c r="G2194" i="1"/>
  <c r="H2194" i="1"/>
  <c r="I2194" i="1"/>
  <c r="J2194" i="1"/>
  <c r="K2194" i="1"/>
  <c r="M2194" i="1"/>
  <c r="A3383" i="1"/>
  <c r="G3383" i="1"/>
  <c r="H3383" i="1"/>
  <c r="I3383" i="1"/>
  <c r="J3383" i="1"/>
  <c r="K3383" i="1"/>
  <c r="M3383" i="1"/>
  <c r="A2783" i="1"/>
  <c r="G2783" i="1"/>
  <c r="H2783" i="1"/>
  <c r="I2783" i="1"/>
  <c r="J2783" i="1"/>
  <c r="K2783" i="1"/>
  <c r="M2783" i="1"/>
  <c r="A834" i="1"/>
  <c r="G834" i="1"/>
  <c r="H834" i="1"/>
  <c r="I834" i="1"/>
  <c r="J834" i="1"/>
  <c r="M834" i="1"/>
  <c r="A835" i="1"/>
  <c r="G835" i="1"/>
  <c r="H835" i="1"/>
  <c r="I835" i="1"/>
  <c r="J835" i="1"/>
  <c r="K835" i="1"/>
  <c r="M835" i="1"/>
  <c r="A836" i="1"/>
  <c r="G836" i="1"/>
  <c r="H836" i="1"/>
  <c r="I836" i="1"/>
  <c r="J836" i="1"/>
  <c r="K836" i="1"/>
  <c r="M836" i="1"/>
  <c r="A837" i="1"/>
  <c r="G837" i="1"/>
  <c r="H837" i="1"/>
  <c r="I837" i="1"/>
  <c r="J837" i="1"/>
  <c r="K837" i="1"/>
  <c r="M837" i="1"/>
  <c r="A2195" i="1"/>
  <c r="G2195" i="1"/>
  <c r="H2195" i="1"/>
  <c r="I2195" i="1"/>
  <c r="J2195" i="1"/>
  <c r="K2195" i="1"/>
  <c r="M2195" i="1"/>
  <c r="A838" i="1"/>
  <c r="G838" i="1"/>
  <c r="H838" i="1"/>
  <c r="I838" i="1"/>
  <c r="J838" i="1"/>
  <c r="M838" i="1"/>
  <c r="A2196" i="1"/>
  <c r="G2196" i="1"/>
  <c r="H2196" i="1"/>
  <c r="I2196" i="1"/>
  <c r="J2196" i="1"/>
  <c r="K2196" i="1"/>
  <c r="M2196" i="1"/>
  <c r="A2197" i="1"/>
  <c r="G2197" i="1"/>
  <c r="H2197" i="1"/>
  <c r="I2197" i="1"/>
  <c r="J2197" i="1"/>
  <c r="A839" i="1"/>
  <c r="G839" i="1"/>
  <c r="H839" i="1"/>
  <c r="I839" i="1"/>
  <c r="J839" i="1"/>
  <c r="K839" i="1"/>
  <c r="M839" i="1"/>
  <c r="A4452" i="1"/>
  <c r="G4452" i="1"/>
  <c r="H4452" i="1"/>
  <c r="I4452" i="1"/>
  <c r="J4452" i="1"/>
  <c r="K4452" i="1"/>
  <c r="M4452" i="1"/>
  <c r="A840" i="1"/>
  <c r="G840" i="1"/>
  <c r="H840" i="1"/>
  <c r="I840" i="1"/>
  <c r="J840" i="1"/>
  <c r="M840" i="1"/>
  <c r="A66" i="1"/>
  <c r="G66" i="1"/>
  <c r="H66" i="1"/>
  <c r="I66" i="1"/>
  <c r="J66" i="1"/>
  <c r="A841" i="1"/>
  <c r="G841" i="1"/>
  <c r="H841" i="1"/>
  <c r="I841" i="1"/>
  <c r="J841" i="1"/>
  <c r="K841" i="1"/>
  <c r="M841" i="1"/>
  <c r="A4227" i="1"/>
  <c r="G4227" i="1"/>
  <c r="H4227" i="1"/>
  <c r="I4227" i="1"/>
  <c r="J4227" i="1"/>
  <c r="A842" i="1"/>
  <c r="G842" i="1"/>
  <c r="H842" i="1"/>
  <c r="I842" i="1"/>
  <c r="J842" i="1"/>
  <c r="K842" i="1"/>
  <c r="M842" i="1"/>
  <c r="A843" i="1"/>
  <c r="G843" i="1"/>
  <c r="H843" i="1"/>
  <c r="I843" i="1"/>
  <c r="J843" i="1"/>
  <c r="K843" i="1"/>
  <c r="M843" i="1"/>
  <c r="A3384" i="1"/>
  <c r="G3384" i="1"/>
  <c r="H3384" i="1"/>
  <c r="I3384" i="1"/>
  <c r="J3384" i="1"/>
  <c r="A67" i="1"/>
  <c r="G67" i="1"/>
  <c r="H67" i="1"/>
  <c r="I67" i="1"/>
  <c r="J67" i="1"/>
  <c r="A3385" i="1"/>
  <c r="G3385" i="1"/>
  <c r="H3385" i="1"/>
  <c r="I3385" i="1"/>
  <c r="J3385" i="1"/>
  <c r="A3386" i="1"/>
  <c r="G3386" i="1"/>
  <c r="H3386" i="1"/>
  <c r="I3386" i="1"/>
  <c r="J3386" i="1"/>
  <c r="K3386" i="1"/>
  <c r="M3386" i="1"/>
  <c r="A2198" i="1"/>
  <c r="G2198" i="1"/>
  <c r="H2198" i="1"/>
  <c r="I2198" i="1"/>
  <c r="J2198" i="1"/>
  <c r="A4228" i="1"/>
  <c r="G4228" i="1"/>
  <c r="H4228" i="1"/>
  <c r="I4228" i="1"/>
  <c r="J4228" i="1"/>
  <c r="K4228" i="1"/>
  <c r="M4228" i="1"/>
  <c r="A3387" i="1"/>
  <c r="G3387" i="1"/>
  <c r="H3387" i="1"/>
  <c r="I3387" i="1"/>
  <c r="J3387" i="1"/>
  <c r="K3387" i="1"/>
  <c r="M3387" i="1"/>
  <c r="A2199" i="1"/>
  <c r="G2199" i="1"/>
  <c r="H2199" i="1"/>
  <c r="I2199" i="1"/>
  <c r="J2199" i="1"/>
  <c r="K2199" i="1"/>
  <c r="M2199" i="1"/>
  <c r="A844" i="1"/>
  <c r="G844" i="1"/>
  <c r="H844" i="1"/>
  <c r="I844" i="1"/>
  <c r="J844" i="1"/>
  <c r="K844" i="1"/>
  <c r="M844" i="1"/>
  <c r="A2200" i="1"/>
  <c r="G2200" i="1"/>
  <c r="H2200" i="1"/>
  <c r="I2200" i="1"/>
  <c r="J2200" i="1"/>
  <c r="A68" i="1"/>
  <c r="G68" i="1"/>
  <c r="H68" i="1"/>
  <c r="I68" i="1"/>
  <c r="J68" i="1"/>
  <c r="K68" i="1"/>
  <c r="M68" i="1"/>
  <c r="A845" i="1"/>
  <c r="G845" i="1"/>
  <c r="H845" i="1"/>
  <c r="I845" i="1"/>
  <c r="J845" i="1"/>
  <c r="K845" i="1"/>
  <c r="M845" i="1"/>
  <c r="A3388" i="1"/>
  <c r="G3388" i="1"/>
  <c r="H3388" i="1"/>
  <c r="I3388" i="1"/>
  <c r="J3388" i="1"/>
  <c r="K3388" i="1"/>
  <c r="M3388" i="1"/>
  <c r="A3389" i="1"/>
  <c r="G3389" i="1"/>
  <c r="H3389" i="1"/>
  <c r="I3389" i="1"/>
  <c r="J3389" i="1"/>
  <c r="A846" i="1"/>
  <c r="G846" i="1"/>
  <c r="H846" i="1"/>
  <c r="I846" i="1"/>
  <c r="J846" i="1"/>
  <c r="M846" i="1"/>
  <c r="A847" i="1"/>
  <c r="G847" i="1"/>
  <c r="H847" i="1"/>
  <c r="I847" i="1"/>
  <c r="J847" i="1"/>
  <c r="M847" i="1"/>
  <c r="A2858" i="1"/>
  <c r="G2858" i="1"/>
  <c r="H2858" i="1"/>
  <c r="I2858" i="1"/>
  <c r="J2858" i="1"/>
  <c r="K2858" i="1"/>
  <c r="M2858" i="1"/>
  <c r="A848" i="1"/>
  <c r="G848" i="1"/>
  <c r="H848" i="1"/>
  <c r="I848" i="1"/>
  <c r="J848" i="1"/>
  <c r="K848" i="1"/>
  <c r="M848" i="1"/>
  <c r="A3390" i="1"/>
  <c r="G3390" i="1"/>
  <c r="H3390" i="1"/>
  <c r="I3390" i="1"/>
  <c r="J3390" i="1"/>
  <c r="A4605" i="1"/>
  <c r="G4605" i="1"/>
  <c r="H4605" i="1"/>
  <c r="I4605" i="1"/>
  <c r="J4605" i="1"/>
  <c r="A2201" i="1"/>
  <c r="G2201" i="1"/>
  <c r="H2201" i="1"/>
  <c r="I2201" i="1"/>
  <c r="J2201" i="1"/>
  <c r="K2201" i="1"/>
  <c r="L2201" i="1"/>
  <c r="M2201" i="1"/>
  <c r="A2202" i="1"/>
  <c r="G2202" i="1"/>
  <c r="H2202" i="1"/>
  <c r="I2202" i="1"/>
  <c r="J2202" i="1"/>
  <c r="K2202" i="1"/>
  <c r="M2202" i="1"/>
  <c r="A849" i="1"/>
  <c r="G849" i="1"/>
  <c r="H849" i="1"/>
  <c r="I849" i="1"/>
  <c r="J849" i="1"/>
  <c r="M849" i="1"/>
  <c r="A2203" i="1"/>
  <c r="G2203" i="1"/>
  <c r="H2203" i="1"/>
  <c r="I2203" i="1"/>
  <c r="J2203" i="1"/>
  <c r="K2203" i="1"/>
  <c r="M2203" i="1"/>
  <c r="A850" i="1"/>
  <c r="G850" i="1"/>
  <c r="H850" i="1"/>
  <c r="I850" i="1"/>
  <c r="J850" i="1"/>
  <c r="K850" i="1"/>
  <c r="M850" i="1"/>
  <c r="A851" i="1"/>
  <c r="G851" i="1"/>
  <c r="H851" i="1"/>
  <c r="I851" i="1"/>
  <c r="J851" i="1"/>
  <c r="K851" i="1"/>
  <c r="M851" i="1"/>
  <c r="A4695" i="1"/>
  <c r="G4695" i="1"/>
  <c r="H4695" i="1"/>
  <c r="I4695" i="1"/>
  <c r="J4695" i="1"/>
  <c r="M4695" i="1"/>
  <c r="A4696" i="1"/>
  <c r="G4696" i="1"/>
  <c r="H4696" i="1"/>
  <c r="I4696" i="1"/>
  <c r="J4696" i="1"/>
  <c r="M4696" i="1"/>
  <c r="A2204" i="1"/>
  <c r="G2204" i="1"/>
  <c r="H2204" i="1"/>
  <c r="I2204" i="1"/>
  <c r="J2204" i="1"/>
  <c r="K2204" i="1"/>
  <c r="M2204" i="1"/>
  <c r="A2908" i="1"/>
  <c r="G2908" i="1"/>
  <c r="H2908" i="1"/>
  <c r="I2908" i="1"/>
  <c r="J2908" i="1"/>
  <c r="L2908" i="1"/>
  <c r="M2908" i="1"/>
  <c r="A852" i="1"/>
  <c r="G852" i="1"/>
  <c r="H852" i="1"/>
  <c r="I852" i="1"/>
  <c r="J852" i="1"/>
  <c r="K852" i="1"/>
  <c r="M852" i="1"/>
  <c r="A3391" i="1"/>
  <c r="G3391" i="1"/>
  <c r="H3391" i="1"/>
  <c r="I3391" i="1"/>
  <c r="J3391" i="1"/>
  <c r="K3391" i="1"/>
  <c r="M3391" i="1"/>
  <c r="A2205" i="1"/>
  <c r="G2205" i="1"/>
  <c r="H2205" i="1"/>
  <c r="I2205" i="1"/>
  <c r="J2205" i="1"/>
  <c r="A2206" i="1"/>
  <c r="G2206" i="1"/>
  <c r="H2206" i="1"/>
  <c r="I2206" i="1"/>
  <c r="J2206" i="1"/>
  <c r="K2206" i="1"/>
  <c r="M2206" i="1"/>
  <c r="A4606" i="1"/>
  <c r="G4606" i="1"/>
  <c r="H4606" i="1"/>
  <c r="I4606" i="1"/>
  <c r="J4606" i="1"/>
  <c r="A3392" i="1"/>
  <c r="G3392" i="1"/>
  <c r="H3392" i="1"/>
  <c r="I3392" i="1"/>
  <c r="J3392" i="1"/>
  <c r="A4229" i="1"/>
  <c r="G4229" i="1"/>
  <c r="H4229" i="1"/>
  <c r="I4229" i="1"/>
  <c r="J4229" i="1"/>
  <c r="K4229" i="1"/>
  <c r="M4229" i="1"/>
  <c r="A3393" i="1"/>
  <c r="G3393" i="1"/>
  <c r="H3393" i="1"/>
  <c r="I3393" i="1"/>
  <c r="J3393" i="1"/>
  <c r="K3393" i="1"/>
  <c r="M3393" i="1"/>
  <c r="A4697" i="1"/>
  <c r="G4697" i="1"/>
  <c r="H4697" i="1"/>
  <c r="I4697" i="1"/>
  <c r="J4697" i="1"/>
  <c r="M4697" i="1"/>
  <c r="A853" i="1"/>
  <c r="G853" i="1"/>
  <c r="H853" i="1"/>
  <c r="I853" i="1"/>
  <c r="J853" i="1"/>
  <c r="M853" i="1"/>
  <c r="A69" i="1"/>
  <c r="G69" i="1"/>
  <c r="H69" i="1"/>
  <c r="I69" i="1"/>
  <c r="J69" i="1"/>
  <c r="K69" i="1"/>
  <c r="M69" i="1"/>
  <c r="A4453" i="1"/>
  <c r="G4453" i="1"/>
  <c r="H4453" i="1"/>
  <c r="I4453" i="1"/>
  <c r="J4453" i="1"/>
  <c r="K4453" i="1"/>
  <c r="M4453" i="1"/>
  <c r="A3394" i="1"/>
  <c r="G3394" i="1"/>
  <c r="H3394" i="1"/>
  <c r="I3394" i="1"/>
  <c r="J3394" i="1"/>
  <c r="K3394" i="1"/>
  <c r="M3394" i="1"/>
  <c r="A854" i="1"/>
  <c r="G854" i="1"/>
  <c r="H854" i="1"/>
  <c r="I854" i="1"/>
  <c r="J854" i="1"/>
  <c r="K854" i="1"/>
  <c r="M854" i="1"/>
  <c r="A4607" i="1"/>
  <c r="G4607" i="1"/>
  <c r="H4607" i="1"/>
  <c r="I4607" i="1"/>
  <c r="J4607" i="1"/>
  <c r="A3395" i="1"/>
  <c r="G3395" i="1"/>
  <c r="H3395" i="1"/>
  <c r="I3395" i="1"/>
  <c r="J3395" i="1"/>
  <c r="K3395" i="1"/>
  <c r="M3395" i="1"/>
  <c r="A2207" i="1"/>
  <c r="G2207" i="1"/>
  <c r="H2207" i="1"/>
  <c r="I2207" i="1"/>
  <c r="J2207" i="1"/>
  <c r="K2207" i="1"/>
  <c r="M2207" i="1"/>
  <c r="A70" i="1"/>
  <c r="G70" i="1"/>
  <c r="H70" i="1"/>
  <c r="I70" i="1"/>
  <c r="J70" i="1"/>
  <c r="A3396" i="1"/>
  <c r="G3396" i="1"/>
  <c r="H3396" i="1"/>
  <c r="I3396" i="1"/>
  <c r="J3396" i="1"/>
  <c r="K3396" i="1"/>
  <c r="M3396" i="1"/>
  <c r="A855" i="1"/>
  <c r="G855" i="1"/>
  <c r="H855" i="1"/>
  <c r="I855" i="1"/>
  <c r="J855" i="1"/>
  <c r="K855" i="1"/>
  <c r="M855" i="1"/>
  <c r="A3397" i="1"/>
  <c r="G3397" i="1"/>
  <c r="H3397" i="1"/>
  <c r="I3397" i="1"/>
  <c r="J3397" i="1"/>
  <c r="K3397" i="1"/>
  <c r="M3397" i="1"/>
  <c r="A71" i="1"/>
  <c r="G71" i="1"/>
  <c r="H71" i="1"/>
  <c r="I71" i="1"/>
  <c r="J71" i="1"/>
  <c r="A856" i="1"/>
  <c r="G856" i="1"/>
  <c r="H856" i="1"/>
  <c r="I856" i="1"/>
  <c r="J856" i="1"/>
  <c r="K856" i="1"/>
  <c r="M856" i="1"/>
  <c r="A4698" i="1"/>
  <c r="G4698" i="1"/>
  <c r="H4698" i="1"/>
  <c r="I4698" i="1"/>
  <c r="J4698" i="1"/>
  <c r="M4698" i="1"/>
  <c r="A3398" i="1"/>
  <c r="G3398" i="1"/>
  <c r="H3398" i="1"/>
  <c r="I3398" i="1"/>
  <c r="J3398" i="1"/>
  <c r="A3399" i="1"/>
  <c r="G3399" i="1"/>
  <c r="H3399" i="1"/>
  <c r="I3399" i="1"/>
  <c r="J3399" i="1"/>
  <c r="K3399" i="1"/>
  <c r="M3399" i="1"/>
  <c r="A857" i="1"/>
  <c r="G857" i="1"/>
  <c r="H857" i="1"/>
  <c r="I857" i="1"/>
  <c r="J857" i="1"/>
  <c r="K857" i="1"/>
  <c r="M857" i="1"/>
  <c r="A3400" i="1"/>
  <c r="G3400" i="1"/>
  <c r="H3400" i="1"/>
  <c r="I3400" i="1"/>
  <c r="J3400" i="1"/>
  <c r="A858" i="1"/>
  <c r="G858" i="1"/>
  <c r="H858" i="1"/>
  <c r="I858" i="1"/>
  <c r="J858" i="1"/>
  <c r="K858" i="1"/>
  <c r="M858" i="1"/>
  <c r="A2208" i="1"/>
  <c r="G2208" i="1"/>
  <c r="H2208" i="1"/>
  <c r="I2208" i="1"/>
  <c r="J2208" i="1"/>
  <c r="K2208" i="1"/>
  <c r="M2208" i="1"/>
  <c r="A2209" i="1"/>
  <c r="G2209" i="1"/>
  <c r="H2209" i="1"/>
  <c r="I2209" i="1"/>
  <c r="J2209" i="1"/>
  <c r="L2209" i="1"/>
  <c r="M2209" i="1"/>
  <c r="A72" i="1"/>
  <c r="G72" i="1"/>
  <c r="H72" i="1"/>
  <c r="I72" i="1"/>
  <c r="J72" i="1"/>
  <c r="K72" i="1"/>
  <c r="M72" i="1"/>
  <c r="A859" i="1"/>
  <c r="G859" i="1"/>
  <c r="H859" i="1"/>
  <c r="I859" i="1"/>
  <c r="J859" i="1"/>
  <c r="K859" i="1"/>
  <c r="M859" i="1"/>
  <c r="A2784" i="1"/>
  <c r="G2784" i="1"/>
  <c r="H2784" i="1"/>
  <c r="I2784" i="1"/>
  <c r="J2784" i="1"/>
  <c r="K2784" i="1"/>
  <c r="M2784" i="1"/>
  <c r="A3401" i="1"/>
  <c r="G3401" i="1"/>
  <c r="H3401" i="1"/>
  <c r="I3401" i="1"/>
  <c r="J3401" i="1"/>
  <c r="K3401" i="1"/>
  <c r="M3401" i="1"/>
  <c r="A4699" i="1"/>
  <c r="G4699" i="1"/>
  <c r="H4699" i="1"/>
  <c r="I4699" i="1"/>
  <c r="J4699" i="1"/>
  <c r="M4699" i="1"/>
  <c r="A4454" i="1"/>
  <c r="G4454" i="1"/>
  <c r="H4454" i="1"/>
  <c r="I4454" i="1"/>
  <c r="J4454" i="1"/>
  <c r="K4454" i="1"/>
  <c r="M4454" i="1"/>
  <c r="A4785" i="1"/>
  <c r="G4785" i="1"/>
  <c r="H4785" i="1"/>
  <c r="I4785" i="1"/>
  <c r="J4785" i="1"/>
  <c r="K4785" i="1"/>
  <c r="M4785" i="1"/>
  <c r="A4700" i="1"/>
  <c r="G4700" i="1"/>
  <c r="H4700" i="1"/>
  <c r="I4700" i="1"/>
  <c r="J4700" i="1"/>
  <c r="M4700" i="1"/>
  <c r="A860" i="1"/>
  <c r="G860" i="1"/>
  <c r="H860" i="1"/>
  <c r="I860" i="1"/>
  <c r="J860" i="1"/>
  <c r="K860" i="1"/>
  <c r="M860" i="1"/>
  <c r="A861" i="1"/>
  <c r="G861" i="1"/>
  <c r="H861" i="1"/>
  <c r="I861" i="1"/>
  <c r="J861" i="1"/>
  <c r="K861" i="1"/>
  <c r="M861" i="1"/>
  <c r="A862" i="1"/>
  <c r="G862" i="1"/>
  <c r="H862" i="1"/>
  <c r="I862" i="1"/>
  <c r="J862" i="1"/>
  <c r="K862" i="1"/>
  <c r="M862" i="1"/>
  <c r="A3402" i="1"/>
  <c r="G3402" i="1"/>
  <c r="H3402" i="1"/>
  <c r="I3402" i="1"/>
  <c r="J3402" i="1"/>
  <c r="K3402" i="1"/>
  <c r="M3402" i="1"/>
  <c r="A3403" i="1"/>
  <c r="G3403" i="1"/>
  <c r="H3403" i="1"/>
  <c r="I3403" i="1"/>
  <c r="J3403" i="1"/>
  <c r="A4455" i="1"/>
  <c r="G4455" i="1"/>
  <c r="H4455" i="1"/>
  <c r="I4455" i="1"/>
  <c r="J4455" i="1"/>
  <c r="K4455" i="1"/>
  <c r="M4455" i="1"/>
  <c r="A73" i="1"/>
  <c r="G73" i="1"/>
  <c r="H73" i="1"/>
  <c r="I73" i="1"/>
  <c r="J73" i="1"/>
  <c r="K73" i="1"/>
  <c r="M73" i="1"/>
  <c r="A863" i="1"/>
  <c r="G863" i="1"/>
  <c r="H863" i="1"/>
  <c r="I863" i="1"/>
  <c r="J863" i="1"/>
  <c r="K863" i="1"/>
  <c r="M863" i="1"/>
  <c r="A3404" i="1"/>
  <c r="G3404" i="1"/>
  <c r="H3404" i="1"/>
  <c r="I3404" i="1"/>
  <c r="J3404" i="1"/>
  <c r="K3404" i="1"/>
  <c r="M3404" i="1"/>
  <c r="A864" i="1"/>
  <c r="G864" i="1"/>
  <c r="H864" i="1"/>
  <c r="I864" i="1"/>
  <c r="J864" i="1"/>
  <c r="M864" i="1"/>
  <c r="A2210" i="1"/>
  <c r="G2210" i="1"/>
  <c r="H2210" i="1"/>
  <c r="I2210" i="1"/>
  <c r="J2210" i="1"/>
  <c r="A4456" i="1"/>
  <c r="G4456" i="1"/>
  <c r="H4456" i="1"/>
  <c r="I4456" i="1"/>
  <c r="J4456" i="1"/>
  <c r="K4456" i="1"/>
  <c r="M4456" i="1"/>
  <c r="A2211" i="1"/>
  <c r="G2211" i="1"/>
  <c r="H2211" i="1"/>
  <c r="I2211" i="1"/>
  <c r="J2211" i="1"/>
  <c r="K2211" i="1"/>
  <c r="M2211" i="1"/>
  <c r="A2212" i="1"/>
  <c r="G2212" i="1"/>
  <c r="H2212" i="1"/>
  <c r="I2212" i="1"/>
  <c r="J2212" i="1"/>
  <c r="K2212" i="1"/>
  <c r="M2212" i="1"/>
  <c r="A4457" i="1"/>
  <c r="G4457" i="1"/>
  <c r="H4457" i="1"/>
  <c r="I4457" i="1"/>
  <c r="J4457" i="1"/>
  <c r="K4457" i="1"/>
  <c r="M4457" i="1"/>
  <c r="A2213" i="1"/>
  <c r="G2213" i="1"/>
  <c r="H2213" i="1"/>
  <c r="I2213" i="1"/>
  <c r="J2213" i="1"/>
  <c r="A4230" i="1"/>
  <c r="G4230" i="1"/>
  <c r="H4230" i="1"/>
  <c r="I4230" i="1"/>
  <c r="J4230" i="1"/>
  <c r="K4230" i="1"/>
  <c r="M4230" i="1"/>
  <c r="A3405" i="1"/>
  <c r="G3405" i="1"/>
  <c r="H3405" i="1"/>
  <c r="I3405" i="1"/>
  <c r="J3405" i="1"/>
  <c r="A3406" i="1"/>
  <c r="G3406" i="1"/>
  <c r="H3406" i="1"/>
  <c r="I3406" i="1"/>
  <c r="J3406" i="1"/>
  <c r="K3406" i="1"/>
  <c r="M3406" i="1"/>
  <c r="A865" i="1"/>
  <c r="G865" i="1"/>
  <c r="H865" i="1"/>
  <c r="I865" i="1"/>
  <c r="J865" i="1"/>
  <c r="K865" i="1"/>
  <c r="M865" i="1"/>
  <c r="A4231" i="1"/>
  <c r="G4231" i="1"/>
  <c r="H4231" i="1"/>
  <c r="I4231" i="1"/>
  <c r="J4231" i="1"/>
  <c r="A3407" i="1"/>
  <c r="G3407" i="1"/>
  <c r="H3407" i="1"/>
  <c r="I3407" i="1"/>
  <c r="J3407" i="1"/>
  <c r="K3407" i="1"/>
  <c r="M3407" i="1"/>
  <c r="A3408" i="1"/>
  <c r="G3408" i="1"/>
  <c r="H3408" i="1"/>
  <c r="I3408" i="1"/>
  <c r="J3408" i="1"/>
  <c r="K3408" i="1"/>
  <c r="M3408" i="1"/>
  <c r="A3409" i="1"/>
  <c r="G3409" i="1"/>
  <c r="H3409" i="1"/>
  <c r="I3409" i="1"/>
  <c r="J3409" i="1"/>
  <c r="A4458" i="1"/>
  <c r="G4458" i="1"/>
  <c r="H4458" i="1"/>
  <c r="I4458" i="1"/>
  <c r="J4458" i="1"/>
  <c r="K4458" i="1"/>
  <c r="M4458" i="1"/>
  <c r="A3410" i="1"/>
  <c r="G3410" i="1"/>
  <c r="H3410" i="1"/>
  <c r="I3410" i="1"/>
  <c r="J3410" i="1"/>
  <c r="K3410" i="1"/>
  <c r="M3410" i="1"/>
  <c r="A4232" i="1"/>
  <c r="G4232" i="1"/>
  <c r="H4232" i="1"/>
  <c r="I4232" i="1"/>
  <c r="J4232" i="1"/>
  <c r="A3411" i="1"/>
  <c r="G3411" i="1"/>
  <c r="H3411" i="1"/>
  <c r="I3411" i="1"/>
  <c r="J3411" i="1"/>
  <c r="A866" i="1"/>
  <c r="G866" i="1"/>
  <c r="H866" i="1"/>
  <c r="I866" i="1"/>
  <c r="J866" i="1"/>
  <c r="K866" i="1"/>
  <c r="M866" i="1"/>
  <c r="A2214" i="1"/>
  <c r="G2214" i="1"/>
  <c r="H2214" i="1"/>
  <c r="I2214" i="1"/>
  <c r="J2214" i="1"/>
  <c r="A3412" i="1"/>
  <c r="G3412" i="1"/>
  <c r="H3412" i="1"/>
  <c r="I3412" i="1"/>
  <c r="J3412" i="1"/>
  <c r="A4329" i="1"/>
  <c r="G4329" i="1"/>
  <c r="H4329" i="1"/>
  <c r="I4329" i="1"/>
  <c r="J4329" i="1"/>
  <c r="A3413" i="1"/>
  <c r="G3413" i="1"/>
  <c r="H3413" i="1"/>
  <c r="I3413" i="1"/>
  <c r="J3413" i="1"/>
  <c r="K3413" i="1"/>
  <c r="M3413" i="1"/>
  <c r="A4459" i="1"/>
  <c r="G4459" i="1"/>
  <c r="H4459" i="1"/>
  <c r="I4459" i="1"/>
  <c r="J4459" i="1"/>
  <c r="K4459" i="1"/>
  <c r="M4459" i="1"/>
  <c r="A867" i="1"/>
  <c r="G867" i="1"/>
  <c r="H867" i="1"/>
  <c r="I867" i="1"/>
  <c r="J867" i="1"/>
  <c r="K867" i="1"/>
  <c r="M867" i="1"/>
  <c r="A3414" i="1"/>
  <c r="G3414" i="1"/>
  <c r="H3414" i="1"/>
  <c r="I3414" i="1"/>
  <c r="J3414" i="1"/>
  <c r="A868" i="1"/>
  <c r="G868" i="1"/>
  <c r="H868" i="1"/>
  <c r="I868" i="1"/>
  <c r="J868" i="1"/>
  <c r="L868" i="1"/>
  <c r="M868" i="1"/>
  <c r="A4330" i="1"/>
  <c r="G4330" i="1"/>
  <c r="H4330" i="1"/>
  <c r="I4330" i="1"/>
  <c r="J4330" i="1"/>
  <c r="A2215" i="1"/>
  <c r="G2215" i="1"/>
  <c r="H2215" i="1"/>
  <c r="I2215" i="1"/>
  <c r="J2215" i="1"/>
  <c r="K2215" i="1"/>
  <c r="M2215" i="1"/>
  <c r="A3415" i="1"/>
  <c r="G3415" i="1"/>
  <c r="H3415" i="1"/>
  <c r="I3415" i="1"/>
  <c r="J3415" i="1"/>
  <c r="A2216" i="1"/>
  <c r="G2216" i="1"/>
  <c r="H2216" i="1"/>
  <c r="I2216" i="1"/>
  <c r="J2216" i="1"/>
  <c r="A2785" i="1"/>
  <c r="G2785" i="1"/>
  <c r="H2785" i="1"/>
  <c r="I2785" i="1"/>
  <c r="J2785" i="1"/>
  <c r="K2785" i="1"/>
  <c r="M2785" i="1"/>
  <c r="A2217" i="1"/>
  <c r="G2217" i="1"/>
  <c r="H2217" i="1"/>
  <c r="I2217" i="1"/>
  <c r="J2217" i="1"/>
  <c r="K2217" i="1"/>
  <c r="M2217" i="1"/>
  <c r="A3416" i="1"/>
  <c r="G3416" i="1"/>
  <c r="H3416" i="1"/>
  <c r="I3416" i="1"/>
  <c r="J3416" i="1"/>
  <c r="A2218" i="1"/>
  <c r="G2218" i="1"/>
  <c r="H2218" i="1"/>
  <c r="I2218" i="1"/>
  <c r="J2218" i="1"/>
  <c r="K2218" i="1"/>
  <c r="M2218" i="1"/>
  <c r="A4331" i="1"/>
  <c r="G4331" i="1"/>
  <c r="H4331" i="1"/>
  <c r="I4331" i="1"/>
  <c r="J4331" i="1"/>
  <c r="A869" i="1"/>
  <c r="G869" i="1"/>
  <c r="H869" i="1"/>
  <c r="I869" i="1"/>
  <c r="J869" i="1"/>
  <c r="K869" i="1"/>
  <c r="M869" i="1"/>
  <c r="A870" i="1"/>
  <c r="G870" i="1"/>
  <c r="H870" i="1"/>
  <c r="I870" i="1"/>
  <c r="J870" i="1"/>
  <c r="K870" i="1"/>
  <c r="M870" i="1"/>
  <c r="A3417" i="1"/>
  <c r="G3417" i="1"/>
  <c r="H3417" i="1"/>
  <c r="I3417" i="1"/>
  <c r="J3417" i="1"/>
  <c r="K3417" i="1"/>
  <c r="M3417" i="1"/>
  <c r="A3418" i="1"/>
  <c r="G3418" i="1"/>
  <c r="H3418" i="1"/>
  <c r="I3418" i="1"/>
  <c r="J3418" i="1"/>
  <c r="A74" i="1"/>
  <c r="G74" i="1"/>
  <c r="H74" i="1"/>
  <c r="I74" i="1"/>
  <c r="J74" i="1"/>
  <c r="K74" i="1"/>
  <c r="M74" i="1"/>
  <c r="A4460" i="1"/>
  <c r="G4460" i="1"/>
  <c r="H4460" i="1"/>
  <c r="I4460" i="1"/>
  <c r="J4460" i="1"/>
  <c r="M4460" i="1"/>
  <c r="A3419" i="1"/>
  <c r="G3419" i="1"/>
  <c r="H3419" i="1"/>
  <c r="I3419" i="1"/>
  <c r="J3419" i="1"/>
  <c r="K3419" i="1"/>
  <c r="M3419" i="1"/>
  <c r="A871" i="1"/>
  <c r="G871" i="1"/>
  <c r="H871" i="1"/>
  <c r="I871" i="1"/>
  <c r="J871" i="1"/>
  <c r="K871" i="1"/>
  <c r="M871" i="1"/>
  <c r="A872" i="1"/>
  <c r="G872" i="1"/>
  <c r="H872" i="1"/>
  <c r="I872" i="1"/>
  <c r="J872" i="1"/>
  <c r="K872" i="1"/>
  <c r="M872" i="1"/>
  <c r="A4461" i="1"/>
  <c r="G4461" i="1"/>
  <c r="H4461" i="1"/>
  <c r="I4461" i="1"/>
  <c r="J4461" i="1"/>
  <c r="K4461" i="1"/>
  <c r="M4461" i="1"/>
  <c r="A75" i="1"/>
  <c r="G75" i="1"/>
  <c r="H75" i="1"/>
  <c r="I75" i="1"/>
  <c r="J75" i="1"/>
  <c r="A3420" i="1"/>
  <c r="G3420" i="1"/>
  <c r="H3420" i="1"/>
  <c r="I3420" i="1"/>
  <c r="J3420" i="1"/>
  <c r="K3420" i="1"/>
  <c r="M3420" i="1"/>
  <c r="A873" i="1"/>
  <c r="G873" i="1"/>
  <c r="H873" i="1"/>
  <c r="I873" i="1"/>
  <c r="J873" i="1"/>
  <c r="K873" i="1"/>
  <c r="M873" i="1"/>
  <c r="A3421" i="1"/>
  <c r="G3421" i="1"/>
  <c r="H3421" i="1"/>
  <c r="I3421" i="1"/>
  <c r="J3421" i="1"/>
  <c r="K3421" i="1"/>
  <c r="M3421" i="1"/>
  <c r="A2219" i="1"/>
  <c r="G2219" i="1"/>
  <c r="H2219" i="1"/>
  <c r="I2219" i="1"/>
  <c r="J2219" i="1"/>
  <c r="K2219" i="1"/>
  <c r="M2219" i="1"/>
  <c r="A2220" i="1"/>
  <c r="G2220" i="1"/>
  <c r="H2220" i="1"/>
  <c r="I2220" i="1"/>
  <c r="J2220" i="1"/>
  <c r="K2220" i="1"/>
  <c r="M2220" i="1"/>
  <c r="A2221" i="1"/>
  <c r="G2221" i="1"/>
  <c r="H2221" i="1"/>
  <c r="I2221" i="1"/>
  <c r="J2221" i="1"/>
  <c r="K2221" i="1"/>
  <c r="M2221" i="1"/>
  <c r="A2222" i="1"/>
  <c r="G2222" i="1"/>
  <c r="H2222" i="1"/>
  <c r="I2222" i="1"/>
  <c r="J2222" i="1"/>
  <c r="K2222" i="1"/>
  <c r="M2222" i="1"/>
  <c r="A2859" i="1"/>
  <c r="G2859" i="1"/>
  <c r="H2859" i="1"/>
  <c r="I2859" i="1"/>
  <c r="J2859" i="1"/>
  <c r="K2859" i="1"/>
  <c r="M2859" i="1"/>
  <c r="A3422" i="1"/>
  <c r="G3422" i="1"/>
  <c r="H3422" i="1"/>
  <c r="I3422" i="1"/>
  <c r="J3422" i="1"/>
  <c r="K3422" i="1"/>
  <c r="M3422" i="1"/>
  <c r="A4701" i="1"/>
  <c r="G4701" i="1"/>
  <c r="H4701" i="1"/>
  <c r="I4701" i="1"/>
  <c r="J4701" i="1"/>
  <c r="M4701" i="1"/>
  <c r="A4462" i="1"/>
  <c r="G4462" i="1"/>
  <c r="H4462" i="1"/>
  <c r="I4462" i="1"/>
  <c r="J4462" i="1"/>
  <c r="K4462" i="1"/>
  <c r="M4462" i="1"/>
  <c r="A2860" i="1"/>
  <c r="G2860" i="1"/>
  <c r="H2860" i="1"/>
  <c r="I2860" i="1"/>
  <c r="J2860" i="1"/>
  <c r="K2860" i="1"/>
  <c r="M2860" i="1"/>
  <c r="A2223" i="1"/>
  <c r="G2223" i="1"/>
  <c r="H2223" i="1"/>
  <c r="I2223" i="1"/>
  <c r="J2223" i="1"/>
  <c r="K2223" i="1"/>
  <c r="M2223" i="1"/>
  <c r="A4332" i="1"/>
  <c r="G4332" i="1"/>
  <c r="H4332" i="1"/>
  <c r="I4332" i="1"/>
  <c r="J4332" i="1"/>
  <c r="K4332" i="1"/>
  <c r="M4332" i="1"/>
  <c r="A2861" i="1"/>
  <c r="G2861" i="1"/>
  <c r="H2861" i="1"/>
  <c r="I2861" i="1"/>
  <c r="J2861" i="1"/>
  <c r="K2861" i="1"/>
  <c r="M2861" i="1"/>
  <c r="A3423" i="1"/>
  <c r="G3423" i="1"/>
  <c r="H3423" i="1"/>
  <c r="I3423" i="1"/>
  <c r="J3423" i="1"/>
  <c r="A4161" i="1"/>
  <c r="G4161" i="1"/>
  <c r="H4161" i="1"/>
  <c r="I4161" i="1"/>
  <c r="J4161" i="1"/>
  <c r="K4161" i="1"/>
  <c r="M4161" i="1"/>
  <c r="A874" i="1"/>
  <c r="G874" i="1"/>
  <c r="H874" i="1"/>
  <c r="I874" i="1"/>
  <c r="J874" i="1"/>
  <c r="A3424" i="1"/>
  <c r="G3424" i="1"/>
  <c r="H3424" i="1"/>
  <c r="I3424" i="1"/>
  <c r="J3424" i="1"/>
  <c r="K3424" i="1"/>
  <c r="M3424" i="1"/>
  <c r="A3425" i="1"/>
  <c r="G3425" i="1"/>
  <c r="H3425" i="1"/>
  <c r="I3425" i="1"/>
  <c r="J3425" i="1"/>
  <c r="K3425" i="1"/>
  <c r="M3425" i="1"/>
  <c r="A4233" i="1"/>
  <c r="G4233" i="1"/>
  <c r="H4233" i="1"/>
  <c r="I4233" i="1"/>
  <c r="J4233" i="1"/>
  <c r="A76" i="1"/>
  <c r="G76" i="1"/>
  <c r="H76" i="1"/>
  <c r="I76" i="1"/>
  <c r="J76" i="1"/>
  <c r="K76" i="1"/>
  <c r="M76" i="1"/>
  <c r="A2224" i="1"/>
  <c r="G2224" i="1"/>
  <c r="H2224" i="1"/>
  <c r="I2224" i="1"/>
  <c r="J2224" i="1"/>
  <c r="K2224" i="1"/>
  <c r="M2224" i="1"/>
  <c r="A4234" i="1"/>
  <c r="G4234" i="1"/>
  <c r="H4234" i="1"/>
  <c r="I4234" i="1"/>
  <c r="J4234" i="1"/>
  <c r="A4235" i="1"/>
  <c r="G4235" i="1"/>
  <c r="H4235" i="1"/>
  <c r="I4235" i="1"/>
  <c r="J4235" i="1"/>
  <c r="K4235" i="1"/>
  <c r="M4235" i="1"/>
  <c r="A875" i="1"/>
  <c r="G875" i="1"/>
  <c r="H875" i="1"/>
  <c r="I875" i="1"/>
  <c r="J875" i="1"/>
  <c r="K875" i="1"/>
  <c r="M875" i="1"/>
  <c r="A876" i="1"/>
  <c r="G876" i="1"/>
  <c r="H876" i="1"/>
  <c r="I876" i="1"/>
  <c r="J876" i="1"/>
  <c r="K876" i="1"/>
  <c r="M876" i="1"/>
  <c r="A2225" i="1"/>
  <c r="G2225" i="1"/>
  <c r="H2225" i="1"/>
  <c r="I2225" i="1"/>
  <c r="J2225" i="1"/>
  <c r="K2225" i="1"/>
  <c r="M2225" i="1"/>
  <c r="A4463" i="1"/>
  <c r="G4463" i="1"/>
  <c r="H4463" i="1"/>
  <c r="I4463" i="1"/>
  <c r="J4463" i="1"/>
  <c r="K4463" i="1"/>
  <c r="M4463" i="1"/>
  <c r="A3426" i="1"/>
  <c r="G3426" i="1"/>
  <c r="H3426" i="1"/>
  <c r="I3426" i="1"/>
  <c r="J3426" i="1"/>
  <c r="A3427" i="1"/>
  <c r="G3427" i="1"/>
  <c r="H3427" i="1"/>
  <c r="I3427" i="1"/>
  <c r="J3427" i="1"/>
  <c r="K3427" i="1"/>
  <c r="M3427" i="1"/>
  <c r="A877" i="1"/>
  <c r="G877" i="1"/>
  <c r="H877" i="1"/>
  <c r="I877" i="1"/>
  <c r="J877" i="1"/>
  <c r="K877" i="1"/>
  <c r="M877" i="1"/>
  <c r="A3428" i="1"/>
  <c r="G3428" i="1"/>
  <c r="H3428" i="1"/>
  <c r="I3428" i="1"/>
  <c r="J3428" i="1"/>
  <c r="K3428" i="1"/>
  <c r="M3428" i="1"/>
  <c r="A3429" i="1"/>
  <c r="G3429" i="1"/>
  <c r="H3429" i="1"/>
  <c r="I3429" i="1"/>
  <c r="J3429" i="1"/>
  <c r="K3429" i="1"/>
  <c r="M3429" i="1"/>
  <c r="A3430" i="1"/>
  <c r="G3430" i="1"/>
  <c r="H3430" i="1"/>
  <c r="I3430" i="1"/>
  <c r="J3430" i="1"/>
  <c r="K3430" i="1"/>
  <c r="M3430" i="1"/>
  <c r="A878" i="1"/>
  <c r="G878" i="1"/>
  <c r="H878" i="1"/>
  <c r="I878" i="1"/>
  <c r="J878" i="1"/>
  <c r="M878" i="1"/>
  <c r="A4702" i="1"/>
  <c r="G4702" i="1"/>
  <c r="H4702" i="1"/>
  <c r="I4702" i="1"/>
  <c r="J4702" i="1"/>
  <c r="M4702" i="1"/>
  <c r="A3431" i="1"/>
  <c r="G3431" i="1"/>
  <c r="H3431" i="1"/>
  <c r="I3431" i="1"/>
  <c r="J3431" i="1"/>
  <c r="A2226" i="1"/>
  <c r="G2226" i="1"/>
  <c r="H2226" i="1"/>
  <c r="I2226" i="1"/>
  <c r="J2226" i="1"/>
  <c r="K2226" i="1"/>
  <c r="M2226" i="1"/>
  <c r="A879" i="1"/>
  <c r="G879" i="1"/>
  <c r="H879" i="1"/>
  <c r="I879" i="1"/>
  <c r="J879" i="1"/>
  <c r="K879" i="1"/>
  <c r="M879" i="1"/>
  <c r="A4464" i="1"/>
  <c r="G4464" i="1"/>
  <c r="H4464" i="1"/>
  <c r="I4464" i="1"/>
  <c r="J4464" i="1"/>
  <c r="K4464" i="1"/>
  <c r="M4464" i="1"/>
  <c r="A3432" i="1"/>
  <c r="G3432" i="1"/>
  <c r="H3432" i="1"/>
  <c r="I3432" i="1"/>
  <c r="J3432" i="1"/>
  <c r="A3433" i="1"/>
  <c r="G3433" i="1"/>
  <c r="H3433" i="1"/>
  <c r="I3433" i="1"/>
  <c r="J3433" i="1"/>
  <c r="K3433" i="1"/>
  <c r="M3433" i="1"/>
  <c r="A3434" i="1"/>
  <c r="G3434" i="1"/>
  <c r="H3434" i="1"/>
  <c r="I3434" i="1"/>
  <c r="J3434" i="1"/>
  <c r="K3434" i="1"/>
  <c r="M3434" i="1"/>
  <c r="A880" i="1"/>
  <c r="G880" i="1"/>
  <c r="H880" i="1"/>
  <c r="I880" i="1"/>
  <c r="J880" i="1"/>
  <c r="K880" i="1"/>
  <c r="M880" i="1"/>
  <c r="A3435" i="1"/>
  <c r="G3435" i="1"/>
  <c r="H3435" i="1"/>
  <c r="I3435" i="1"/>
  <c r="J3435" i="1"/>
  <c r="A3436" i="1"/>
  <c r="G3436" i="1"/>
  <c r="H3436" i="1"/>
  <c r="I3436" i="1"/>
  <c r="J3436" i="1"/>
  <c r="A4465" i="1"/>
  <c r="G4465" i="1"/>
  <c r="H4465" i="1"/>
  <c r="I4465" i="1"/>
  <c r="J4465" i="1"/>
  <c r="K4465" i="1"/>
  <c r="M4465" i="1"/>
  <c r="A2227" i="1"/>
  <c r="G2227" i="1"/>
  <c r="H2227" i="1"/>
  <c r="I2227" i="1"/>
  <c r="J2227" i="1"/>
  <c r="K2227" i="1"/>
  <c r="M2227" i="1"/>
  <c r="A4236" i="1"/>
  <c r="G4236" i="1"/>
  <c r="H4236" i="1"/>
  <c r="I4236" i="1"/>
  <c r="J4236" i="1"/>
  <c r="K4236" i="1"/>
  <c r="M4236" i="1"/>
  <c r="A3437" i="1"/>
  <c r="G3437" i="1"/>
  <c r="H3437" i="1"/>
  <c r="I3437" i="1"/>
  <c r="J3437" i="1"/>
  <c r="A881" i="1"/>
  <c r="G881" i="1"/>
  <c r="H881" i="1"/>
  <c r="I881" i="1"/>
  <c r="J881" i="1"/>
  <c r="K881" i="1"/>
  <c r="M881" i="1"/>
  <c r="A882" i="1"/>
  <c r="G882" i="1"/>
  <c r="H882" i="1"/>
  <c r="I882" i="1"/>
  <c r="J882" i="1"/>
  <c r="M882" i="1"/>
  <c r="A883" i="1"/>
  <c r="G883" i="1"/>
  <c r="H883" i="1"/>
  <c r="I883" i="1"/>
  <c r="J883" i="1"/>
  <c r="M883" i="1"/>
  <c r="A2786" i="1"/>
  <c r="G2786" i="1"/>
  <c r="H2786" i="1"/>
  <c r="I2786" i="1"/>
  <c r="J2786" i="1"/>
  <c r="K2786" i="1"/>
  <c r="M2786" i="1"/>
  <c r="A884" i="1"/>
  <c r="G884" i="1"/>
  <c r="H884" i="1"/>
  <c r="I884" i="1"/>
  <c r="J884" i="1"/>
  <c r="K884" i="1"/>
  <c r="M884" i="1"/>
  <c r="A885" i="1"/>
  <c r="G885" i="1"/>
  <c r="H885" i="1"/>
  <c r="I885" i="1"/>
  <c r="J885" i="1"/>
  <c r="K885" i="1"/>
  <c r="M885" i="1"/>
  <c r="A4703" i="1"/>
  <c r="G4703" i="1"/>
  <c r="H4703" i="1"/>
  <c r="I4703" i="1"/>
  <c r="J4703" i="1"/>
  <c r="M4703" i="1"/>
  <c r="A886" i="1"/>
  <c r="G886" i="1"/>
  <c r="H886" i="1"/>
  <c r="I886" i="1"/>
  <c r="J886" i="1"/>
  <c r="K886" i="1"/>
  <c r="M886" i="1"/>
  <c r="A4608" i="1"/>
  <c r="G4608" i="1"/>
  <c r="H4608" i="1"/>
  <c r="I4608" i="1"/>
  <c r="J4608" i="1"/>
  <c r="A4786" i="1"/>
  <c r="G4786" i="1"/>
  <c r="H4786" i="1"/>
  <c r="I4786" i="1"/>
  <c r="J4786" i="1"/>
  <c r="K4786" i="1"/>
  <c r="M4786" i="1"/>
  <c r="A3438" i="1"/>
  <c r="G3438" i="1"/>
  <c r="H3438" i="1"/>
  <c r="I3438" i="1"/>
  <c r="J3438" i="1"/>
  <c r="A2228" i="1"/>
  <c r="G2228" i="1"/>
  <c r="H2228" i="1"/>
  <c r="I2228" i="1"/>
  <c r="J2228" i="1"/>
  <c r="K2228" i="1"/>
  <c r="M2228" i="1"/>
  <c r="A2229" i="1"/>
  <c r="G2229" i="1"/>
  <c r="H2229" i="1"/>
  <c r="I2229" i="1"/>
  <c r="J2229" i="1"/>
  <c r="M2229" i="1"/>
  <c r="A3439" i="1"/>
  <c r="G3439" i="1"/>
  <c r="H3439" i="1"/>
  <c r="I3439" i="1"/>
  <c r="J3439" i="1"/>
  <c r="K3439" i="1"/>
  <c r="M3439" i="1"/>
  <c r="A887" i="1"/>
  <c r="G887" i="1"/>
  <c r="H887" i="1"/>
  <c r="I887" i="1"/>
  <c r="J887" i="1"/>
  <c r="K887" i="1"/>
  <c r="M887" i="1"/>
  <c r="A2230" i="1"/>
  <c r="G2230" i="1"/>
  <c r="H2230" i="1"/>
  <c r="I2230" i="1"/>
  <c r="J2230" i="1"/>
  <c r="K2230" i="1"/>
  <c r="M2230" i="1"/>
  <c r="A888" i="1"/>
  <c r="G888" i="1"/>
  <c r="H888" i="1"/>
  <c r="I888" i="1"/>
  <c r="J888" i="1"/>
  <c r="K888" i="1"/>
  <c r="M888" i="1"/>
  <c r="A2231" i="1"/>
  <c r="G2231" i="1"/>
  <c r="H2231" i="1"/>
  <c r="I2231" i="1"/>
  <c r="J2231" i="1"/>
  <c r="K2231" i="1"/>
  <c r="M2231" i="1"/>
  <c r="A2232" i="1"/>
  <c r="G2232" i="1"/>
  <c r="H2232" i="1"/>
  <c r="I2232" i="1"/>
  <c r="J2232" i="1"/>
  <c r="K2232" i="1"/>
  <c r="M2232" i="1"/>
  <c r="A889" i="1"/>
  <c r="G889" i="1"/>
  <c r="H889" i="1"/>
  <c r="I889" i="1"/>
  <c r="J889" i="1"/>
  <c r="A4237" i="1"/>
  <c r="G4237" i="1"/>
  <c r="H4237" i="1"/>
  <c r="I4237" i="1"/>
  <c r="J4237" i="1"/>
  <c r="K4237" i="1"/>
  <c r="M4237" i="1"/>
  <c r="A3440" i="1"/>
  <c r="G3440" i="1"/>
  <c r="H3440" i="1"/>
  <c r="I3440" i="1"/>
  <c r="J3440" i="1"/>
  <c r="K3440" i="1"/>
  <c r="M3440" i="1"/>
  <c r="A2233" i="1"/>
  <c r="G2233" i="1"/>
  <c r="H2233" i="1"/>
  <c r="I2233" i="1"/>
  <c r="J2233" i="1"/>
  <c r="K2233" i="1"/>
  <c r="M2233" i="1"/>
  <c r="A890" i="1"/>
  <c r="G890" i="1"/>
  <c r="H890" i="1"/>
  <c r="I890" i="1"/>
  <c r="J890" i="1"/>
  <c r="K890" i="1"/>
  <c r="M890" i="1"/>
  <c r="A2234" i="1"/>
  <c r="G2234" i="1"/>
  <c r="H2234" i="1"/>
  <c r="I2234" i="1"/>
  <c r="J2234" i="1"/>
  <c r="A891" i="1"/>
  <c r="G891" i="1"/>
  <c r="H891" i="1"/>
  <c r="I891" i="1"/>
  <c r="J891" i="1"/>
  <c r="M891" i="1"/>
  <c r="A3441" i="1"/>
  <c r="G3441" i="1"/>
  <c r="H3441" i="1"/>
  <c r="I3441" i="1"/>
  <c r="J3441" i="1"/>
  <c r="K3441" i="1"/>
  <c r="M3441" i="1"/>
  <c r="A3442" i="1"/>
  <c r="G3442" i="1"/>
  <c r="H3442" i="1"/>
  <c r="I3442" i="1"/>
  <c r="J3442" i="1"/>
  <c r="K3442" i="1"/>
  <c r="M3442" i="1"/>
  <c r="A3443" i="1"/>
  <c r="G3443" i="1"/>
  <c r="H3443" i="1"/>
  <c r="I3443" i="1"/>
  <c r="J3443" i="1"/>
  <c r="K3443" i="1"/>
  <c r="M3443" i="1"/>
  <c r="A2235" i="1"/>
  <c r="G2235" i="1"/>
  <c r="H2235" i="1"/>
  <c r="I2235" i="1"/>
  <c r="J2235" i="1"/>
  <c r="A3444" i="1"/>
  <c r="G3444" i="1"/>
  <c r="H3444" i="1"/>
  <c r="I3444" i="1"/>
  <c r="J3444" i="1"/>
  <c r="K3444" i="1"/>
  <c r="M3444" i="1"/>
  <c r="A892" i="1"/>
  <c r="G892" i="1"/>
  <c r="H892" i="1"/>
  <c r="I892" i="1"/>
  <c r="J892" i="1"/>
  <c r="K892" i="1"/>
  <c r="M892" i="1"/>
  <c r="A893" i="1"/>
  <c r="G893" i="1"/>
  <c r="H893" i="1"/>
  <c r="I893" i="1"/>
  <c r="J893" i="1"/>
  <c r="K893" i="1"/>
  <c r="M893" i="1"/>
  <c r="A4466" i="1"/>
  <c r="G4466" i="1"/>
  <c r="H4466" i="1"/>
  <c r="I4466" i="1"/>
  <c r="J4466" i="1"/>
  <c r="K4466" i="1"/>
  <c r="M4466" i="1"/>
  <c r="A894" i="1"/>
  <c r="G894" i="1"/>
  <c r="H894" i="1"/>
  <c r="I894" i="1"/>
  <c r="J894" i="1"/>
  <c r="K894" i="1"/>
  <c r="M894" i="1"/>
  <c r="A2236" i="1"/>
  <c r="G2236" i="1"/>
  <c r="H2236" i="1"/>
  <c r="I2236" i="1"/>
  <c r="J2236" i="1"/>
  <c r="K2236" i="1"/>
  <c r="M2236" i="1"/>
  <c r="A895" i="1"/>
  <c r="G895" i="1"/>
  <c r="H895" i="1"/>
  <c r="I895" i="1"/>
  <c r="J895" i="1"/>
  <c r="M895" i="1"/>
  <c r="A896" i="1"/>
  <c r="G896" i="1"/>
  <c r="H896" i="1"/>
  <c r="I896" i="1"/>
  <c r="J896" i="1"/>
  <c r="K896" i="1"/>
  <c r="M896" i="1"/>
  <c r="A3445" i="1"/>
  <c r="G3445" i="1"/>
  <c r="H3445" i="1"/>
  <c r="I3445" i="1"/>
  <c r="J3445" i="1"/>
  <c r="K3445" i="1"/>
  <c r="M3445" i="1"/>
  <c r="A4467" i="1"/>
  <c r="G4467" i="1"/>
  <c r="H4467" i="1"/>
  <c r="I4467" i="1"/>
  <c r="J4467" i="1"/>
  <c r="K4467" i="1"/>
  <c r="M4467" i="1"/>
  <c r="A4609" i="1"/>
  <c r="G4609" i="1"/>
  <c r="H4609" i="1"/>
  <c r="I4609" i="1"/>
  <c r="J4609" i="1"/>
  <c r="A3446" i="1"/>
  <c r="G3446" i="1"/>
  <c r="H3446" i="1"/>
  <c r="I3446" i="1"/>
  <c r="J3446" i="1"/>
  <c r="A2237" i="1"/>
  <c r="G2237" i="1"/>
  <c r="H2237" i="1"/>
  <c r="I2237" i="1"/>
  <c r="J2237" i="1"/>
  <c r="K2237" i="1"/>
  <c r="M2237" i="1"/>
  <c r="A2238" i="1"/>
  <c r="G2238" i="1"/>
  <c r="H2238" i="1"/>
  <c r="I2238" i="1"/>
  <c r="J2238" i="1"/>
  <c r="K2238" i="1"/>
  <c r="M2238" i="1"/>
  <c r="A3447" i="1"/>
  <c r="G3447" i="1"/>
  <c r="H3447" i="1"/>
  <c r="I3447" i="1"/>
  <c r="J3447" i="1"/>
  <c r="A897" i="1"/>
  <c r="G897" i="1"/>
  <c r="H897" i="1"/>
  <c r="I897" i="1"/>
  <c r="J897" i="1"/>
  <c r="K897" i="1"/>
  <c r="M897" i="1"/>
  <c r="A898" i="1"/>
  <c r="G898" i="1"/>
  <c r="H898" i="1"/>
  <c r="I898" i="1"/>
  <c r="J898" i="1"/>
  <c r="A3448" i="1"/>
  <c r="G3448" i="1"/>
  <c r="H3448" i="1"/>
  <c r="I3448" i="1"/>
  <c r="J3448" i="1"/>
  <c r="K3448" i="1"/>
  <c r="M3448" i="1"/>
  <c r="A899" i="1"/>
  <c r="G899" i="1"/>
  <c r="H899" i="1"/>
  <c r="I899" i="1"/>
  <c r="J899" i="1"/>
  <c r="K899" i="1"/>
  <c r="M899" i="1"/>
  <c r="A900" i="1"/>
  <c r="G900" i="1"/>
  <c r="H900" i="1"/>
  <c r="I900" i="1"/>
  <c r="J900" i="1"/>
  <c r="M900" i="1"/>
  <c r="A3449" i="1"/>
  <c r="G3449" i="1"/>
  <c r="H3449" i="1"/>
  <c r="I3449" i="1"/>
  <c r="J3449" i="1"/>
  <c r="K3449" i="1"/>
  <c r="M3449" i="1"/>
  <c r="A901" i="1"/>
  <c r="G901" i="1"/>
  <c r="H901" i="1"/>
  <c r="I901" i="1"/>
  <c r="J901" i="1"/>
  <c r="K901" i="1"/>
  <c r="M901" i="1"/>
  <c r="A2239" i="1"/>
  <c r="G2239" i="1"/>
  <c r="H2239" i="1"/>
  <c r="I2239" i="1"/>
  <c r="J2239" i="1"/>
  <c r="A2240" i="1"/>
  <c r="G2240" i="1"/>
  <c r="H2240" i="1"/>
  <c r="I2240" i="1"/>
  <c r="J2240" i="1"/>
  <c r="K2240" i="1"/>
  <c r="M2240" i="1"/>
  <c r="A2241" i="1"/>
  <c r="G2241" i="1"/>
  <c r="H2241" i="1"/>
  <c r="I2241" i="1"/>
  <c r="J2241" i="1"/>
  <c r="K2241" i="1"/>
  <c r="M2241" i="1"/>
  <c r="A2242" i="1"/>
  <c r="G2242" i="1"/>
  <c r="H2242" i="1"/>
  <c r="I2242" i="1"/>
  <c r="J2242" i="1"/>
  <c r="A2243" i="1"/>
  <c r="G2243" i="1"/>
  <c r="H2243" i="1"/>
  <c r="I2243" i="1"/>
  <c r="J2243" i="1"/>
  <c r="K2243" i="1"/>
  <c r="M2243" i="1"/>
  <c r="A4162" i="1"/>
  <c r="G4162" i="1"/>
  <c r="H4162" i="1"/>
  <c r="I4162" i="1"/>
  <c r="J4162" i="1"/>
  <c r="K4162" i="1"/>
  <c r="M4162" i="1"/>
  <c r="A902" i="1"/>
  <c r="G902" i="1"/>
  <c r="H902" i="1"/>
  <c r="I902" i="1"/>
  <c r="J902" i="1"/>
  <c r="K902" i="1"/>
  <c r="M902" i="1"/>
  <c r="A4468" i="1"/>
  <c r="G4468" i="1"/>
  <c r="H4468" i="1"/>
  <c r="I4468" i="1"/>
  <c r="J4468" i="1"/>
  <c r="K4468" i="1"/>
  <c r="M4468" i="1"/>
  <c r="A3450" i="1"/>
  <c r="G3450" i="1"/>
  <c r="H3450" i="1"/>
  <c r="I3450" i="1"/>
  <c r="J3450" i="1"/>
  <c r="K3450" i="1"/>
  <c r="M3450" i="1"/>
  <c r="A3451" i="1"/>
  <c r="G3451" i="1"/>
  <c r="H3451" i="1"/>
  <c r="I3451" i="1"/>
  <c r="J3451" i="1"/>
  <c r="K3451" i="1"/>
  <c r="M3451" i="1"/>
  <c r="A903" i="1"/>
  <c r="G903" i="1"/>
  <c r="H903" i="1"/>
  <c r="I903" i="1"/>
  <c r="J903" i="1"/>
  <c r="K903" i="1"/>
  <c r="M903" i="1"/>
  <c r="A904" i="1"/>
  <c r="G904" i="1"/>
  <c r="H904" i="1"/>
  <c r="I904" i="1"/>
  <c r="J904" i="1"/>
  <c r="K904" i="1"/>
  <c r="M904" i="1"/>
  <c r="A2244" i="1"/>
  <c r="G2244" i="1"/>
  <c r="H2244" i="1"/>
  <c r="I2244" i="1"/>
  <c r="J2244" i="1"/>
  <c r="K2244" i="1"/>
  <c r="M2244" i="1"/>
  <c r="A4238" i="1"/>
  <c r="G4238" i="1"/>
  <c r="H4238" i="1"/>
  <c r="I4238" i="1"/>
  <c r="J4238" i="1"/>
  <c r="A905" i="1"/>
  <c r="G905" i="1"/>
  <c r="H905" i="1"/>
  <c r="I905" i="1"/>
  <c r="J905" i="1"/>
  <c r="K905" i="1"/>
  <c r="M905" i="1"/>
  <c r="A906" i="1"/>
  <c r="G906" i="1"/>
  <c r="H906" i="1"/>
  <c r="I906" i="1"/>
  <c r="J906" i="1"/>
  <c r="K906" i="1"/>
  <c r="M906" i="1"/>
  <c r="A907" i="1"/>
  <c r="G907" i="1"/>
  <c r="H907" i="1"/>
  <c r="I907" i="1"/>
  <c r="J907" i="1"/>
  <c r="L907" i="1"/>
  <c r="M907" i="1"/>
  <c r="A908" i="1"/>
  <c r="G908" i="1"/>
  <c r="H908" i="1"/>
  <c r="I908" i="1"/>
  <c r="J908" i="1"/>
  <c r="K908" i="1"/>
  <c r="M908" i="1"/>
  <c r="A77" i="1"/>
  <c r="G77" i="1"/>
  <c r="H77" i="1"/>
  <c r="I77" i="1"/>
  <c r="J77" i="1"/>
  <c r="A909" i="1"/>
  <c r="G909" i="1"/>
  <c r="H909" i="1"/>
  <c r="I909" i="1"/>
  <c r="J909" i="1"/>
  <c r="K909" i="1"/>
  <c r="M909" i="1"/>
  <c r="A910" i="1"/>
  <c r="G910" i="1"/>
  <c r="H910" i="1"/>
  <c r="I910" i="1"/>
  <c r="J910" i="1"/>
  <c r="L910" i="1"/>
  <c r="M910" i="1"/>
  <c r="A3452" i="1"/>
  <c r="G3452" i="1"/>
  <c r="H3452" i="1"/>
  <c r="I3452" i="1"/>
  <c r="J3452" i="1"/>
  <c r="K3452" i="1"/>
  <c r="M3452" i="1"/>
  <c r="A911" i="1"/>
  <c r="G911" i="1"/>
  <c r="H911" i="1"/>
  <c r="I911" i="1"/>
  <c r="J911" i="1"/>
  <c r="K911" i="1"/>
  <c r="M911" i="1"/>
  <c r="A4239" i="1"/>
  <c r="G4239" i="1"/>
  <c r="H4239" i="1"/>
  <c r="I4239" i="1"/>
  <c r="J4239" i="1"/>
  <c r="K4239" i="1"/>
  <c r="M4239" i="1"/>
  <c r="A912" i="1"/>
  <c r="G912" i="1"/>
  <c r="H912" i="1"/>
  <c r="I912" i="1"/>
  <c r="J912" i="1"/>
  <c r="K912" i="1"/>
  <c r="M912" i="1"/>
  <c r="A2245" i="1"/>
  <c r="G2245" i="1"/>
  <c r="H2245" i="1"/>
  <c r="I2245" i="1"/>
  <c r="J2245" i="1"/>
  <c r="K2245" i="1"/>
  <c r="M2245" i="1"/>
  <c r="A3453" i="1"/>
  <c r="G3453" i="1"/>
  <c r="H3453" i="1"/>
  <c r="I3453" i="1"/>
  <c r="J3453" i="1"/>
  <c r="K3453" i="1"/>
  <c r="M3453" i="1"/>
  <c r="A3454" i="1"/>
  <c r="G3454" i="1"/>
  <c r="H3454" i="1"/>
  <c r="I3454" i="1"/>
  <c r="J3454" i="1"/>
  <c r="A913" i="1"/>
  <c r="G913" i="1"/>
  <c r="H913" i="1"/>
  <c r="I913" i="1"/>
  <c r="J913" i="1"/>
  <c r="K913" i="1"/>
  <c r="M913" i="1"/>
  <c r="A3455" i="1"/>
  <c r="G3455" i="1"/>
  <c r="H3455" i="1"/>
  <c r="I3455" i="1"/>
  <c r="J3455" i="1"/>
  <c r="A2246" i="1"/>
  <c r="G2246" i="1"/>
  <c r="H2246" i="1"/>
  <c r="I2246" i="1"/>
  <c r="J2246" i="1"/>
  <c r="A914" i="1"/>
  <c r="G914" i="1"/>
  <c r="H914" i="1"/>
  <c r="I914" i="1"/>
  <c r="J914" i="1"/>
  <c r="K914" i="1"/>
  <c r="M914" i="1"/>
  <c r="A915" i="1"/>
  <c r="G915" i="1"/>
  <c r="H915" i="1"/>
  <c r="I915" i="1"/>
  <c r="J915" i="1"/>
  <c r="K915" i="1"/>
  <c r="M915" i="1"/>
  <c r="A3456" i="1"/>
  <c r="G3456" i="1"/>
  <c r="H3456" i="1"/>
  <c r="I3456" i="1"/>
  <c r="J3456" i="1"/>
  <c r="A4240" i="1"/>
  <c r="G4240" i="1"/>
  <c r="H4240" i="1"/>
  <c r="I4240" i="1"/>
  <c r="J4240" i="1"/>
  <c r="K4240" i="1"/>
  <c r="M4240" i="1"/>
  <c r="A4469" i="1"/>
  <c r="G4469" i="1"/>
  <c r="H4469" i="1"/>
  <c r="I4469" i="1"/>
  <c r="J4469" i="1"/>
  <c r="K4469" i="1"/>
  <c r="M4469" i="1"/>
  <c r="A2247" i="1"/>
  <c r="G2247" i="1"/>
  <c r="H2247" i="1"/>
  <c r="I2247" i="1"/>
  <c r="J2247" i="1"/>
  <c r="K2247" i="1"/>
  <c r="M2247" i="1"/>
  <c r="A916" i="1"/>
  <c r="G916" i="1"/>
  <c r="H916" i="1"/>
  <c r="I916" i="1"/>
  <c r="J916" i="1"/>
  <c r="K916" i="1"/>
  <c r="M916" i="1"/>
  <c r="A4704" i="1"/>
  <c r="G4704" i="1"/>
  <c r="H4704" i="1"/>
  <c r="I4704" i="1"/>
  <c r="J4704" i="1"/>
  <c r="M4704" i="1"/>
  <c r="A3457" i="1"/>
  <c r="G3457" i="1"/>
  <c r="H3457" i="1"/>
  <c r="I3457" i="1"/>
  <c r="J3457" i="1"/>
  <c r="A3458" i="1"/>
  <c r="G3458" i="1"/>
  <c r="H3458" i="1"/>
  <c r="I3458" i="1"/>
  <c r="J3458" i="1"/>
  <c r="A3459" i="1"/>
  <c r="G3459" i="1"/>
  <c r="H3459" i="1"/>
  <c r="I3459" i="1"/>
  <c r="J3459" i="1"/>
  <c r="A3460" i="1"/>
  <c r="G3460" i="1"/>
  <c r="H3460" i="1"/>
  <c r="I3460" i="1"/>
  <c r="J3460" i="1"/>
  <c r="A4470" i="1"/>
  <c r="G4470" i="1"/>
  <c r="H4470" i="1"/>
  <c r="I4470" i="1"/>
  <c r="J4470" i="1"/>
  <c r="K4470" i="1"/>
  <c r="M4470" i="1"/>
  <c r="A917" i="1"/>
  <c r="G917" i="1"/>
  <c r="H917" i="1"/>
  <c r="I917" i="1"/>
  <c r="J917" i="1"/>
  <c r="K917" i="1"/>
  <c r="M917" i="1"/>
  <c r="A3461" i="1"/>
  <c r="G3461" i="1"/>
  <c r="H3461" i="1"/>
  <c r="I3461" i="1"/>
  <c r="J3461" i="1"/>
  <c r="K3461" i="1"/>
  <c r="M3461" i="1"/>
  <c r="A78" i="1"/>
  <c r="G78" i="1"/>
  <c r="H78" i="1"/>
  <c r="I78" i="1"/>
  <c r="J78" i="1"/>
  <c r="K78" i="1"/>
  <c r="M78" i="1"/>
  <c r="A918" i="1"/>
  <c r="G918" i="1"/>
  <c r="H918" i="1"/>
  <c r="I918" i="1"/>
  <c r="J918" i="1"/>
  <c r="M918" i="1"/>
  <c r="A4471" i="1"/>
  <c r="G4471" i="1"/>
  <c r="H4471" i="1"/>
  <c r="I4471" i="1"/>
  <c r="J4471" i="1"/>
  <c r="K4471" i="1"/>
  <c r="M4471" i="1"/>
  <c r="A3462" i="1"/>
  <c r="G3462" i="1"/>
  <c r="H3462" i="1"/>
  <c r="I3462" i="1"/>
  <c r="J3462" i="1"/>
  <c r="A3463" i="1"/>
  <c r="G3463" i="1"/>
  <c r="H3463" i="1"/>
  <c r="I3463" i="1"/>
  <c r="J3463" i="1"/>
  <c r="A3464" i="1"/>
  <c r="G3464" i="1"/>
  <c r="H3464" i="1"/>
  <c r="I3464" i="1"/>
  <c r="J3464" i="1"/>
  <c r="K3464" i="1"/>
  <c r="M3464" i="1"/>
  <c r="A919" i="1"/>
  <c r="G919" i="1"/>
  <c r="H919" i="1"/>
  <c r="I919" i="1"/>
  <c r="J919" i="1"/>
  <c r="K919" i="1"/>
  <c r="M919" i="1"/>
  <c r="A2248" i="1"/>
  <c r="G2248" i="1"/>
  <c r="H2248" i="1"/>
  <c r="I2248" i="1"/>
  <c r="J2248" i="1"/>
  <c r="K2248" i="1"/>
  <c r="M2248" i="1"/>
  <c r="A4472" i="1"/>
  <c r="G4472" i="1"/>
  <c r="H4472" i="1"/>
  <c r="I4472" i="1"/>
  <c r="J4472" i="1"/>
  <c r="K4472" i="1"/>
  <c r="M4472" i="1"/>
  <c r="A79" i="1"/>
  <c r="G79" i="1"/>
  <c r="H79" i="1"/>
  <c r="I79" i="1"/>
  <c r="J79" i="1"/>
  <c r="K79" i="1"/>
  <c r="M79" i="1"/>
  <c r="A920" i="1"/>
  <c r="G920" i="1"/>
  <c r="H920" i="1"/>
  <c r="I920" i="1"/>
  <c r="J920" i="1"/>
  <c r="K920" i="1"/>
  <c r="M920" i="1"/>
  <c r="A4473" i="1"/>
  <c r="G4473" i="1"/>
  <c r="H4473" i="1"/>
  <c r="I4473" i="1"/>
  <c r="J4473" i="1"/>
  <c r="K4473" i="1"/>
  <c r="M4473" i="1"/>
  <c r="A921" i="1"/>
  <c r="G921" i="1"/>
  <c r="H921" i="1"/>
  <c r="I921" i="1"/>
  <c r="J921" i="1"/>
  <c r="K921" i="1"/>
  <c r="M921" i="1"/>
  <c r="A922" i="1"/>
  <c r="G922" i="1"/>
  <c r="H922" i="1"/>
  <c r="I922" i="1"/>
  <c r="J922" i="1"/>
  <c r="K922" i="1"/>
  <c r="M922" i="1"/>
  <c r="A3465" i="1"/>
  <c r="G3465" i="1"/>
  <c r="H3465" i="1"/>
  <c r="I3465" i="1"/>
  <c r="J3465" i="1"/>
  <c r="K3465" i="1"/>
  <c r="M3465" i="1"/>
  <c r="A923" i="1"/>
  <c r="G923" i="1"/>
  <c r="H923" i="1"/>
  <c r="I923" i="1"/>
  <c r="J923" i="1"/>
  <c r="K923" i="1"/>
  <c r="M923" i="1"/>
  <c r="A924" i="1"/>
  <c r="G924" i="1"/>
  <c r="H924" i="1"/>
  <c r="I924" i="1"/>
  <c r="J924" i="1"/>
  <c r="K924" i="1"/>
  <c r="M924" i="1"/>
  <c r="A925" i="1"/>
  <c r="G925" i="1"/>
  <c r="H925" i="1"/>
  <c r="I925" i="1"/>
  <c r="J925" i="1"/>
  <c r="K925" i="1"/>
  <c r="M925" i="1"/>
  <c r="A3466" i="1"/>
  <c r="G3466" i="1"/>
  <c r="H3466" i="1"/>
  <c r="I3466" i="1"/>
  <c r="J3466" i="1"/>
  <c r="K3466" i="1"/>
  <c r="M3466" i="1"/>
  <c r="A4705" i="1"/>
  <c r="G4705" i="1"/>
  <c r="H4705" i="1"/>
  <c r="I4705" i="1"/>
  <c r="J4705" i="1"/>
  <c r="M4705" i="1"/>
  <c r="A3467" i="1"/>
  <c r="G3467" i="1"/>
  <c r="H3467" i="1"/>
  <c r="I3467" i="1"/>
  <c r="J3467" i="1"/>
  <c r="A3468" i="1"/>
  <c r="G3468" i="1"/>
  <c r="H3468" i="1"/>
  <c r="I3468" i="1"/>
  <c r="J3468" i="1"/>
  <c r="A3469" i="1"/>
  <c r="G3469" i="1"/>
  <c r="H3469" i="1"/>
  <c r="I3469" i="1"/>
  <c r="J3469" i="1"/>
  <c r="K3469" i="1"/>
  <c r="M3469" i="1"/>
  <c r="A3470" i="1"/>
  <c r="G3470" i="1"/>
  <c r="H3470" i="1"/>
  <c r="I3470" i="1"/>
  <c r="J3470" i="1"/>
  <c r="K3470" i="1"/>
  <c r="M3470" i="1"/>
  <c r="A926" i="1"/>
  <c r="G926" i="1"/>
  <c r="H926" i="1"/>
  <c r="I926" i="1"/>
  <c r="J926" i="1"/>
  <c r="M926" i="1"/>
  <c r="A4474" i="1"/>
  <c r="G4474" i="1"/>
  <c r="H4474" i="1"/>
  <c r="I4474" i="1"/>
  <c r="J4474" i="1"/>
  <c r="K4474" i="1"/>
  <c r="M4474" i="1"/>
  <c r="A4787" i="1"/>
  <c r="G4787" i="1"/>
  <c r="H4787" i="1"/>
  <c r="I4787" i="1"/>
  <c r="J4787" i="1"/>
  <c r="K4787" i="1"/>
  <c r="M4787" i="1"/>
  <c r="A2249" i="1"/>
  <c r="G2249" i="1"/>
  <c r="H2249" i="1"/>
  <c r="I2249" i="1"/>
  <c r="J2249" i="1"/>
  <c r="K2249" i="1"/>
  <c r="M2249" i="1"/>
  <c r="A2862" i="1"/>
  <c r="G2862" i="1"/>
  <c r="H2862" i="1"/>
  <c r="I2862" i="1"/>
  <c r="J2862" i="1"/>
  <c r="K2862" i="1"/>
  <c r="M2862" i="1"/>
  <c r="A927" i="1"/>
  <c r="G927" i="1"/>
  <c r="H927" i="1"/>
  <c r="I927" i="1"/>
  <c r="J927" i="1"/>
  <c r="K927" i="1"/>
  <c r="M927" i="1"/>
  <c r="A928" i="1"/>
  <c r="G928" i="1"/>
  <c r="H928" i="1"/>
  <c r="I928" i="1"/>
  <c r="J928" i="1"/>
  <c r="K928" i="1"/>
  <c r="M928" i="1"/>
  <c r="A2250" i="1"/>
  <c r="G2250" i="1"/>
  <c r="H2250" i="1"/>
  <c r="I2250" i="1"/>
  <c r="J2250" i="1"/>
  <c r="A4475" i="1"/>
  <c r="G4475" i="1"/>
  <c r="H4475" i="1"/>
  <c r="I4475" i="1"/>
  <c r="J4475" i="1"/>
  <c r="K4475" i="1"/>
  <c r="M4475" i="1"/>
  <c r="A4610" i="1"/>
  <c r="G4610" i="1"/>
  <c r="H4610" i="1"/>
  <c r="I4610" i="1"/>
  <c r="J4610" i="1"/>
  <c r="A2251" i="1"/>
  <c r="G2251" i="1"/>
  <c r="H2251" i="1"/>
  <c r="I2251" i="1"/>
  <c r="J2251" i="1"/>
  <c r="K2251" i="1"/>
  <c r="M2251" i="1"/>
  <c r="A3471" i="1"/>
  <c r="G3471" i="1"/>
  <c r="H3471" i="1"/>
  <c r="I3471" i="1"/>
  <c r="J3471" i="1"/>
  <c r="A929" i="1"/>
  <c r="G929" i="1"/>
  <c r="H929" i="1"/>
  <c r="I929" i="1"/>
  <c r="J929" i="1"/>
  <c r="K929" i="1"/>
  <c r="M929" i="1"/>
  <c r="A4706" i="1"/>
  <c r="G4706" i="1"/>
  <c r="H4706" i="1"/>
  <c r="I4706" i="1"/>
  <c r="J4706" i="1"/>
  <c r="M4706" i="1"/>
  <c r="A930" i="1"/>
  <c r="G930" i="1"/>
  <c r="H930" i="1"/>
  <c r="I930" i="1"/>
  <c r="J930" i="1"/>
  <c r="K930" i="1"/>
  <c r="M930" i="1"/>
  <c r="A2252" i="1"/>
  <c r="G2252" i="1"/>
  <c r="H2252" i="1"/>
  <c r="I2252" i="1"/>
  <c r="J2252" i="1"/>
  <c r="K2252" i="1"/>
  <c r="M2252" i="1"/>
  <c r="A931" i="1"/>
  <c r="G931" i="1"/>
  <c r="H931" i="1"/>
  <c r="I931" i="1"/>
  <c r="J931" i="1"/>
  <c r="K931" i="1"/>
  <c r="M931" i="1"/>
  <c r="A3472" i="1"/>
  <c r="G3472" i="1"/>
  <c r="H3472" i="1"/>
  <c r="I3472" i="1"/>
  <c r="J3472" i="1"/>
  <c r="A2253" i="1"/>
  <c r="G2253" i="1"/>
  <c r="H2253" i="1"/>
  <c r="I2253" i="1"/>
  <c r="J2253" i="1"/>
  <c r="K2253" i="1"/>
  <c r="M2253" i="1"/>
  <c r="A932" i="1"/>
  <c r="G932" i="1"/>
  <c r="H932" i="1"/>
  <c r="I932" i="1"/>
  <c r="J932" i="1"/>
  <c r="K932" i="1"/>
  <c r="M932" i="1"/>
  <c r="A3473" i="1"/>
  <c r="G3473" i="1"/>
  <c r="H3473" i="1"/>
  <c r="I3473" i="1"/>
  <c r="J3473" i="1"/>
  <c r="A80" i="1"/>
  <c r="G80" i="1"/>
  <c r="H80" i="1"/>
  <c r="I80" i="1"/>
  <c r="J80" i="1"/>
  <c r="K80" i="1"/>
  <c r="M80" i="1"/>
  <c r="A933" i="1"/>
  <c r="G933" i="1"/>
  <c r="H933" i="1"/>
  <c r="I933" i="1"/>
  <c r="J933" i="1"/>
  <c r="K933" i="1"/>
  <c r="M933" i="1"/>
  <c r="A934" i="1"/>
  <c r="G934" i="1"/>
  <c r="H934" i="1"/>
  <c r="I934" i="1"/>
  <c r="J934" i="1"/>
  <c r="K934" i="1"/>
  <c r="M934" i="1"/>
  <c r="A2254" i="1"/>
  <c r="G2254" i="1"/>
  <c r="H2254" i="1"/>
  <c r="I2254" i="1"/>
  <c r="J2254" i="1"/>
  <c r="K2254" i="1"/>
  <c r="M2254" i="1"/>
  <c r="A935" i="1"/>
  <c r="G935" i="1"/>
  <c r="H935" i="1"/>
  <c r="I935" i="1"/>
  <c r="J935" i="1"/>
  <c r="A2255" i="1"/>
  <c r="G2255" i="1"/>
  <c r="H2255" i="1"/>
  <c r="I2255" i="1"/>
  <c r="J2255" i="1"/>
  <c r="A4476" i="1"/>
  <c r="G4476" i="1"/>
  <c r="H4476" i="1"/>
  <c r="I4476" i="1"/>
  <c r="J4476" i="1"/>
  <c r="K4476" i="1"/>
  <c r="M4476" i="1"/>
  <c r="A2787" i="1"/>
  <c r="G2787" i="1"/>
  <c r="H2787" i="1"/>
  <c r="I2787" i="1"/>
  <c r="J2787" i="1"/>
  <c r="K2787" i="1"/>
  <c r="M2787" i="1"/>
  <c r="A3474" i="1"/>
  <c r="G3474" i="1"/>
  <c r="H3474" i="1"/>
  <c r="I3474" i="1"/>
  <c r="J3474" i="1"/>
  <c r="K3474" i="1"/>
  <c r="M3474" i="1"/>
  <c r="A4707" i="1"/>
  <c r="G4707" i="1"/>
  <c r="H4707" i="1"/>
  <c r="I4707" i="1"/>
  <c r="J4707" i="1"/>
  <c r="M4707" i="1"/>
  <c r="A936" i="1"/>
  <c r="G936" i="1"/>
  <c r="H936" i="1"/>
  <c r="I936" i="1"/>
  <c r="J936" i="1"/>
  <c r="K936" i="1"/>
  <c r="M936" i="1"/>
  <c r="A3475" i="1"/>
  <c r="G3475" i="1"/>
  <c r="H3475" i="1"/>
  <c r="I3475" i="1"/>
  <c r="J3475" i="1"/>
  <c r="A937" i="1"/>
  <c r="G937" i="1"/>
  <c r="H937" i="1"/>
  <c r="I937" i="1"/>
  <c r="J937" i="1"/>
  <c r="K937" i="1"/>
  <c r="M937" i="1"/>
  <c r="A938" i="1"/>
  <c r="G938" i="1"/>
  <c r="H938" i="1"/>
  <c r="I938" i="1"/>
  <c r="J938" i="1"/>
  <c r="K938" i="1"/>
  <c r="M938" i="1"/>
  <c r="A2256" i="1"/>
  <c r="G2256" i="1"/>
  <c r="H2256" i="1"/>
  <c r="I2256" i="1"/>
  <c r="J2256" i="1"/>
  <c r="A939" i="1"/>
  <c r="G939" i="1"/>
  <c r="H939" i="1"/>
  <c r="I939" i="1"/>
  <c r="J939" i="1"/>
  <c r="K939" i="1"/>
  <c r="M939" i="1"/>
  <c r="A2788" i="1"/>
  <c r="G2788" i="1"/>
  <c r="H2788" i="1"/>
  <c r="I2788" i="1"/>
  <c r="J2788" i="1"/>
  <c r="K2788" i="1"/>
  <c r="M2788" i="1"/>
  <c r="A3476" i="1"/>
  <c r="G3476" i="1"/>
  <c r="H3476" i="1"/>
  <c r="I3476" i="1"/>
  <c r="J3476" i="1"/>
  <c r="A4630" i="1"/>
  <c r="G4630" i="1"/>
  <c r="H4630" i="1"/>
  <c r="I4630" i="1"/>
  <c r="J4630" i="1"/>
  <c r="A2257" i="1"/>
  <c r="G2257" i="1"/>
  <c r="H2257" i="1"/>
  <c r="I2257" i="1"/>
  <c r="J2257" i="1"/>
  <c r="K2257" i="1"/>
  <c r="M2257" i="1"/>
  <c r="A3477" i="1"/>
  <c r="G3477" i="1"/>
  <c r="H3477" i="1"/>
  <c r="I3477" i="1"/>
  <c r="J3477" i="1"/>
  <c r="K3477" i="1"/>
  <c r="M3477" i="1"/>
  <c r="A940" i="1"/>
  <c r="G940" i="1"/>
  <c r="H940" i="1"/>
  <c r="I940" i="1"/>
  <c r="J940" i="1"/>
  <c r="K940" i="1"/>
  <c r="M940" i="1"/>
  <c r="A941" i="1"/>
  <c r="G941" i="1"/>
  <c r="H941" i="1"/>
  <c r="I941" i="1"/>
  <c r="J941" i="1"/>
  <c r="M941" i="1"/>
  <c r="A942" i="1"/>
  <c r="G942" i="1"/>
  <c r="H942" i="1"/>
  <c r="I942" i="1"/>
  <c r="J942" i="1"/>
  <c r="K942" i="1"/>
  <c r="M942" i="1"/>
  <c r="A3478" i="1"/>
  <c r="G3478" i="1"/>
  <c r="H3478" i="1"/>
  <c r="I3478" i="1"/>
  <c r="J3478" i="1"/>
  <c r="K3478" i="1"/>
  <c r="M3478" i="1"/>
  <c r="A3479" i="1"/>
  <c r="G3479" i="1"/>
  <c r="H3479" i="1"/>
  <c r="I3479" i="1"/>
  <c r="J3479" i="1"/>
  <c r="K3479" i="1"/>
  <c r="M3479" i="1"/>
  <c r="A3480" i="1"/>
  <c r="G3480" i="1"/>
  <c r="H3480" i="1"/>
  <c r="I3480" i="1"/>
  <c r="J3480" i="1"/>
  <c r="K3480" i="1"/>
  <c r="M3480" i="1"/>
  <c r="A4477" i="1"/>
  <c r="G4477" i="1"/>
  <c r="H4477" i="1"/>
  <c r="I4477" i="1"/>
  <c r="J4477" i="1"/>
  <c r="K4477" i="1"/>
  <c r="M4477" i="1"/>
  <c r="A943" i="1"/>
  <c r="G943" i="1"/>
  <c r="H943" i="1"/>
  <c r="I943" i="1"/>
  <c r="J943" i="1"/>
  <c r="M943" i="1"/>
  <c r="A3481" i="1"/>
  <c r="G3481" i="1"/>
  <c r="H3481" i="1"/>
  <c r="I3481" i="1"/>
  <c r="J3481" i="1"/>
  <c r="A2258" i="1"/>
  <c r="G2258" i="1"/>
  <c r="H2258" i="1"/>
  <c r="I2258" i="1"/>
  <c r="J2258" i="1"/>
  <c r="A3482" i="1"/>
  <c r="G3482" i="1"/>
  <c r="H3482" i="1"/>
  <c r="I3482" i="1"/>
  <c r="J3482" i="1"/>
  <c r="K3482" i="1"/>
  <c r="M3482" i="1"/>
  <c r="A944" i="1"/>
  <c r="G944" i="1"/>
  <c r="H944" i="1"/>
  <c r="I944" i="1"/>
  <c r="J944" i="1"/>
  <c r="M944" i="1"/>
  <c r="A945" i="1"/>
  <c r="G945" i="1"/>
  <c r="H945" i="1"/>
  <c r="I945" i="1"/>
  <c r="J945" i="1"/>
  <c r="K945" i="1"/>
  <c r="M945" i="1"/>
  <c r="A3483" i="1"/>
  <c r="G3483" i="1"/>
  <c r="H3483" i="1"/>
  <c r="I3483" i="1"/>
  <c r="J3483" i="1"/>
  <c r="K3483" i="1"/>
  <c r="M3483" i="1"/>
  <c r="A3484" i="1"/>
  <c r="G3484" i="1"/>
  <c r="H3484" i="1"/>
  <c r="I3484" i="1"/>
  <c r="J3484" i="1"/>
  <c r="A3485" i="1"/>
  <c r="G3485" i="1"/>
  <c r="H3485" i="1"/>
  <c r="I3485" i="1"/>
  <c r="J3485" i="1"/>
  <c r="K3485" i="1"/>
  <c r="M3485" i="1"/>
  <c r="A946" i="1"/>
  <c r="G946" i="1"/>
  <c r="H946" i="1"/>
  <c r="I946" i="1"/>
  <c r="J946" i="1"/>
  <c r="M946" i="1"/>
  <c r="A3486" i="1"/>
  <c r="G3486" i="1"/>
  <c r="H3486" i="1"/>
  <c r="I3486" i="1"/>
  <c r="J3486" i="1"/>
  <c r="K3486" i="1"/>
  <c r="M3486" i="1"/>
  <c r="A2259" i="1"/>
  <c r="G2259" i="1"/>
  <c r="H2259" i="1"/>
  <c r="I2259" i="1"/>
  <c r="J2259" i="1"/>
  <c r="A947" i="1"/>
  <c r="G947" i="1"/>
  <c r="H947" i="1"/>
  <c r="I947" i="1"/>
  <c r="J947" i="1"/>
  <c r="K947" i="1"/>
  <c r="M947" i="1"/>
  <c r="A948" i="1"/>
  <c r="G948" i="1"/>
  <c r="H948" i="1"/>
  <c r="I948" i="1"/>
  <c r="J948" i="1"/>
  <c r="K948" i="1"/>
  <c r="M948" i="1"/>
  <c r="A949" i="1"/>
  <c r="G949" i="1"/>
  <c r="H949" i="1"/>
  <c r="I949" i="1"/>
  <c r="J949" i="1"/>
  <c r="K949" i="1"/>
  <c r="M949" i="1"/>
  <c r="A950" i="1"/>
  <c r="G950" i="1"/>
  <c r="H950" i="1"/>
  <c r="I950" i="1"/>
  <c r="J950" i="1"/>
  <c r="L950" i="1"/>
  <c r="M950" i="1"/>
  <c r="A951" i="1"/>
  <c r="G951" i="1"/>
  <c r="H951" i="1"/>
  <c r="I951" i="1"/>
  <c r="J951" i="1"/>
  <c r="K951" i="1"/>
  <c r="M951" i="1"/>
  <c r="A952" i="1"/>
  <c r="G952" i="1"/>
  <c r="H952" i="1"/>
  <c r="I952" i="1"/>
  <c r="J952" i="1"/>
  <c r="K952" i="1"/>
  <c r="M952" i="1"/>
  <c r="A2789" i="1"/>
  <c r="G2789" i="1"/>
  <c r="H2789" i="1"/>
  <c r="I2789" i="1"/>
  <c r="J2789" i="1"/>
  <c r="K2789" i="1"/>
  <c r="M2789" i="1"/>
  <c r="A4478" i="1"/>
  <c r="G4478" i="1"/>
  <c r="H4478" i="1"/>
  <c r="I4478" i="1"/>
  <c r="J4478" i="1"/>
  <c r="M4478" i="1"/>
  <c r="A2260" i="1"/>
  <c r="G2260" i="1"/>
  <c r="H2260" i="1"/>
  <c r="I2260" i="1"/>
  <c r="J2260" i="1"/>
  <c r="K2260" i="1"/>
  <c r="M2260" i="1"/>
  <c r="A953" i="1"/>
  <c r="G953" i="1"/>
  <c r="H953" i="1"/>
  <c r="I953" i="1"/>
  <c r="J953" i="1"/>
  <c r="K953" i="1"/>
  <c r="M953" i="1"/>
  <c r="A3487" i="1"/>
  <c r="G3487" i="1"/>
  <c r="H3487" i="1"/>
  <c r="I3487" i="1"/>
  <c r="J3487" i="1"/>
  <c r="K3487" i="1"/>
  <c r="M3487" i="1"/>
  <c r="A3488" i="1"/>
  <c r="G3488" i="1"/>
  <c r="H3488" i="1"/>
  <c r="I3488" i="1"/>
  <c r="J3488" i="1"/>
  <c r="A3489" i="1"/>
  <c r="G3489" i="1"/>
  <c r="H3489" i="1"/>
  <c r="I3489" i="1"/>
  <c r="J3489" i="1"/>
  <c r="A2261" i="1"/>
  <c r="G2261" i="1"/>
  <c r="H2261" i="1"/>
  <c r="I2261" i="1"/>
  <c r="J2261" i="1"/>
  <c r="K2261" i="1"/>
  <c r="M2261" i="1"/>
  <c r="A954" i="1"/>
  <c r="G954" i="1"/>
  <c r="H954" i="1"/>
  <c r="I954" i="1"/>
  <c r="J954" i="1"/>
  <c r="K954" i="1"/>
  <c r="M954" i="1"/>
  <c r="A955" i="1"/>
  <c r="G955" i="1"/>
  <c r="H955" i="1"/>
  <c r="I955" i="1"/>
  <c r="J955" i="1"/>
  <c r="K955" i="1"/>
  <c r="M955" i="1"/>
  <c r="A2262" i="1"/>
  <c r="G2262" i="1"/>
  <c r="H2262" i="1"/>
  <c r="I2262" i="1"/>
  <c r="J2262" i="1"/>
  <c r="L2262" i="1"/>
  <c r="M2262" i="1"/>
  <c r="A956" i="1"/>
  <c r="G956" i="1"/>
  <c r="H956" i="1"/>
  <c r="I956" i="1"/>
  <c r="J956" i="1"/>
  <c r="M956" i="1"/>
  <c r="A3490" i="1"/>
  <c r="G3490" i="1"/>
  <c r="H3490" i="1"/>
  <c r="I3490" i="1"/>
  <c r="J3490" i="1"/>
  <c r="K3490" i="1"/>
  <c r="M3490" i="1"/>
  <c r="A3491" i="1"/>
  <c r="G3491" i="1"/>
  <c r="H3491" i="1"/>
  <c r="I3491" i="1"/>
  <c r="J3491" i="1"/>
  <c r="K3491" i="1"/>
  <c r="M3491" i="1"/>
  <c r="A957" i="1"/>
  <c r="G957" i="1"/>
  <c r="H957" i="1"/>
  <c r="I957" i="1"/>
  <c r="J957" i="1"/>
  <c r="M957" i="1"/>
  <c r="A958" i="1"/>
  <c r="G958" i="1"/>
  <c r="H958" i="1"/>
  <c r="I958" i="1"/>
  <c r="J958" i="1"/>
  <c r="K958" i="1"/>
  <c r="M958" i="1"/>
  <c r="A3492" i="1"/>
  <c r="G3492" i="1"/>
  <c r="H3492" i="1"/>
  <c r="I3492" i="1"/>
  <c r="J3492" i="1"/>
  <c r="A3493" i="1"/>
  <c r="G3493" i="1"/>
  <c r="H3493" i="1"/>
  <c r="I3493" i="1"/>
  <c r="J3493" i="1"/>
  <c r="A3494" i="1"/>
  <c r="G3494" i="1"/>
  <c r="H3494" i="1"/>
  <c r="I3494" i="1"/>
  <c r="J3494" i="1"/>
  <c r="K3494" i="1"/>
  <c r="M3494" i="1"/>
  <c r="A81" i="1"/>
  <c r="G81" i="1"/>
  <c r="H81" i="1"/>
  <c r="I81" i="1"/>
  <c r="J81" i="1"/>
  <c r="A2263" i="1"/>
  <c r="G2263" i="1"/>
  <c r="H2263" i="1"/>
  <c r="I2263" i="1"/>
  <c r="J2263" i="1"/>
  <c r="K2263" i="1"/>
  <c r="M2263" i="1"/>
  <c r="A959" i="1"/>
  <c r="G959" i="1"/>
  <c r="H959" i="1"/>
  <c r="I959" i="1"/>
  <c r="J959" i="1"/>
  <c r="K959" i="1"/>
  <c r="M959" i="1"/>
  <c r="A960" i="1"/>
  <c r="G960" i="1"/>
  <c r="H960" i="1"/>
  <c r="I960" i="1"/>
  <c r="J960" i="1"/>
  <c r="K960" i="1"/>
  <c r="M960" i="1"/>
  <c r="A2863" i="1"/>
  <c r="G2863" i="1"/>
  <c r="H2863" i="1"/>
  <c r="I2863" i="1"/>
  <c r="J2863" i="1"/>
  <c r="K2863" i="1"/>
  <c r="M2863" i="1"/>
  <c r="A961" i="1"/>
  <c r="G961" i="1"/>
  <c r="H961" i="1"/>
  <c r="I961" i="1"/>
  <c r="J961" i="1"/>
  <c r="K961" i="1"/>
  <c r="M961" i="1"/>
  <c r="A2264" i="1"/>
  <c r="G2264" i="1"/>
  <c r="H2264" i="1"/>
  <c r="I2264" i="1"/>
  <c r="J2264" i="1"/>
  <c r="A962" i="1"/>
  <c r="G962" i="1"/>
  <c r="H962" i="1"/>
  <c r="I962" i="1"/>
  <c r="J962" i="1"/>
  <c r="M962" i="1"/>
  <c r="A963" i="1"/>
  <c r="G963" i="1"/>
  <c r="H963" i="1"/>
  <c r="I963" i="1"/>
  <c r="J963" i="1"/>
  <c r="K963" i="1"/>
  <c r="M963" i="1"/>
  <c r="A964" i="1"/>
  <c r="G964" i="1"/>
  <c r="H964" i="1"/>
  <c r="I964" i="1"/>
  <c r="J964" i="1"/>
  <c r="K964" i="1"/>
  <c r="M964" i="1"/>
  <c r="A4163" i="1"/>
  <c r="G4163" i="1"/>
  <c r="H4163" i="1"/>
  <c r="I4163" i="1"/>
  <c r="J4163" i="1"/>
  <c r="K4163" i="1"/>
  <c r="M4163" i="1"/>
  <c r="A4479" i="1"/>
  <c r="G4479" i="1"/>
  <c r="H4479" i="1"/>
  <c r="I4479" i="1"/>
  <c r="J4479" i="1"/>
  <c r="M4479" i="1"/>
  <c r="A4241" i="1"/>
  <c r="G4241" i="1"/>
  <c r="H4241" i="1"/>
  <c r="I4241" i="1"/>
  <c r="J4241" i="1"/>
  <c r="K4241" i="1"/>
  <c r="M4241" i="1"/>
  <c r="A3495" i="1"/>
  <c r="G3495" i="1"/>
  <c r="H3495" i="1"/>
  <c r="I3495" i="1"/>
  <c r="J3495" i="1"/>
  <c r="A3496" i="1"/>
  <c r="G3496" i="1"/>
  <c r="H3496" i="1"/>
  <c r="I3496" i="1"/>
  <c r="J3496" i="1"/>
  <c r="K3496" i="1"/>
  <c r="M3496" i="1"/>
  <c r="A2265" i="1"/>
  <c r="G2265" i="1"/>
  <c r="H2265" i="1"/>
  <c r="I2265" i="1"/>
  <c r="J2265" i="1"/>
  <c r="A965" i="1"/>
  <c r="G965" i="1"/>
  <c r="H965" i="1"/>
  <c r="I965" i="1"/>
  <c r="J965" i="1"/>
  <c r="K965" i="1"/>
  <c r="M965" i="1"/>
  <c r="A966" i="1"/>
  <c r="G966" i="1"/>
  <c r="H966" i="1"/>
  <c r="I966" i="1"/>
  <c r="J966" i="1"/>
  <c r="K966" i="1"/>
  <c r="M966" i="1"/>
  <c r="A3497" i="1"/>
  <c r="G3497" i="1"/>
  <c r="H3497" i="1"/>
  <c r="I3497" i="1"/>
  <c r="J3497" i="1"/>
  <c r="A3498" i="1"/>
  <c r="G3498" i="1"/>
  <c r="H3498" i="1"/>
  <c r="I3498" i="1"/>
  <c r="J3498" i="1"/>
  <c r="K3498" i="1"/>
  <c r="M3498" i="1"/>
  <c r="A967" i="1"/>
  <c r="G967" i="1"/>
  <c r="H967" i="1"/>
  <c r="I967" i="1"/>
  <c r="J967" i="1"/>
  <c r="M967" i="1"/>
  <c r="A968" i="1"/>
  <c r="G968" i="1"/>
  <c r="H968" i="1"/>
  <c r="I968" i="1"/>
  <c r="J968" i="1"/>
  <c r="K968" i="1"/>
  <c r="M968" i="1"/>
  <c r="A969" i="1"/>
  <c r="G969" i="1"/>
  <c r="H969" i="1"/>
  <c r="I969" i="1"/>
  <c r="J969" i="1"/>
  <c r="K969" i="1"/>
  <c r="M969" i="1"/>
  <c r="A2266" i="1"/>
  <c r="G2266" i="1"/>
  <c r="H2266" i="1"/>
  <c r="I2266" i="1"/>
  <c r="J2266" i="1"/>
  <c r="A970" i="1"/>
  <c r="G970" i="1"/>
  <c r="H970" i="1"/>
  <c r="I970" i="1"/>
  <c r="J970" i="1"/>
  <c r="K970" i="1"/>
  <c r="M970" i="1"/>
  <c r="A2267" i="1"/>
  <c r="G2267" i="1"/>
  <c r="H2267" i="1"/>
  <c r="I2267" i="1"/>
  <c r="J2267" i="1"/>
  <c r="K2267" i="1"/>
  <c r="M2267" i="1"/>
  <c r="A3499" i="1"/>
  <c r="G3499" i="1"/>
  <c r="H3499" i="1"/>
  <c r="I3499" i="1"/>
  <c r="J3499" i="1"/>
  <c r="K3499" i="1"/>
  <c r="M3499" i="1"/>
  <c r="A4708" i="1"/>
  <c r="G4708" i="1"/>
  <c r="H4708" i="1"/>
  <c r="I4708" i="1"/>
  <c r="J4708" i="1"/>
  <c r="M4708" i="1"/>
  <c r="A971" i="1"/>
  <c r="G971" i="1"/>
  <c r="H971" i="1"/>
  <c r="I971" i="1"/>
  <c r="J971" i="1"/>
  <c r="K971" i="1"/>
  <c r="M971" i="1"/>
  <c r="A2268" i="1"/>
  <c r="G2268" i="1"/>
  <c r="H2268" i="1"/>
  <c r="I2268" i="1"/>
  <c r="J2268" i="1"/>
  <c r="A82" i="1"/>
  <c r="G82" i="1"/>
  <c r="H82" i="1"/>
  <c r="I82" i="1"/>
  <c r="J82" i="1"/>
  <c r="A972" i="1"/>
  <c r="G972" i="1"/>
  <c r="H972" i="1"/>
  <c r="I972" i="1"/>
  <c r="J972" i="1"/>
  <c r="K972" i="1"/>
  <c r="M972" i="1"/>
  <c r="A3500" i="1"/>
  <c r="G3500" i="1"/>
  <c r="H3500" i="1"/>
  <c r="I3500" i="1"/>
  <c r="J3500" i="1"/>
  <c r="A973" i="1"/>
  <c r="G973" i="1"/>
  <c r="H973" i="1"/>
  <c r="I973" i="1"/>
  <c r="J973" i="1"/>
  <c r="M973" i="1"/>
  <c r="A974" i="1"/>
  <c r="G974" i="1"/>
  <c r="H974" i="1"/>
  <c r="I974" i="1"/>
  <c r="J974" i="1"/>
  <c r="K974" i="1"/>
  <c r="M974" i="1"/>
  <c r="A2864" i="1"/>
  <c r="G2864" i="1"/>
  <c r="H2864" i="1"/>
  <c r="I2864" i="1"/>
  <c r="J2864" i="1"/>
  <c r="K2864" i="1"/>
  <c r="M2864" i="1"/>
  <c r="A975" i="1"/>
  <c r="G975" i="1"/>
  <c r="H975" i="1"/>
  <c r="I975" i="1"/>
  <c r="J975" i="1"/>
  <c r="K975" i="1"/>
  <c r="M975" i="1"/>
  <c r="A2269" i="1"/>
  <c r="G2269" i="1"/>
  <c r="H2269" i="1"/>
  <c r="I2269" i="1"/>
  <c r="J2269" i="1"/>
  <c r="A976" i="1"/>
  <c r="G976" i="1"/>
  <c r="H976" i="1"/>
  <c r="I976" i="1"/>
  <c r="J976" i="1"/>
  <c r="K976" i="1"/>
  <c r="M976" i="1"/>
  <c r="A977" i="1"/>
  <c r="G977" i="1"/>
  <c r="H977" i="1"/>
  <c r="I977" i="1"/>
  <c r="J977" i="1"/>
  <c r="K977" i="1"/>
  <c r="M977" i="1"/>
  <c r="A2270" i="1"/>
  <c r="G2270" i="1"/>
  <c r="H2270" i="1"/>
  <c r="I2270" i="1"/>
  <c r="J2270" i="1"/>
  <c r="K2270" i="1"/>
  <c r="M2270" i="1"/>
  <c r="A83" i="1"/>
  <c r="G83" i="1"/>
  <c r="H83" i="1"/>
  <c r="I83" i="1"/>
  <c r="J83" i="1"/>
  <c r="K83" i="1"/>
  <c r="M83" i="1"/>
  <c r="A978" i="1"/>
  <c r="G978" i="1"/>
  <c r="H978" i="1"/>
  <c r="I978" i="1"/>
  <c r="J978" i="1"/>
  <c r="K978" i="1"/>
  <c r="M978" i="1"/>
  <c r="A979" i="1"/>
  <c r="G979" i="1"/>
  <c r="H979" i="1"/>
  <c r="I979" i="1"/>
  <c r="J979" i="1"/>
  <c r="K979" i="1"/>
  <c r="M979" i="1"/>
  <c r="A2271" i="1"/>
  <c r="G2271" i="1"/>
  <c r="H2271" i="1"/>
  <c r="I2271" i="1"/>
  <c r="J2271" i="1"/>
  <c r="K2271" i="1"/>
  <c r="M2271" i="1"/>
  <c r="A3501" i="1"/>
  <c r="G3501" i="1"/>
  <c r="H3501" i="1"/>
  <c r="I3501" i="1"/>
  <c r="J3501" i="1"/>
  <c r="K3501" i="1"/>
  <c r="M3501" i="1"/>
  <c r="A84" i="1"/>
  <c r="G84" i="1"/>
  <c r="H84" i="1"/>
  <c r="I84" i="1"/>
  <c r="J84" i="1"/>
  <c r="K84" i="1"/>
  <c r="M84" i="1"/>
  <c r="A980" i="1"/>
  <c r="G980" i="1"/>
  <c r="H980" i="1"/>
  <c r="I980" i="1"/>
  <c r="J980" i="1"/>
  <c r="L980" i="1"/>
  <c r="M980" i="1"/>
  <c r="A3502" i="1"/>
  <c r="G3502" i="1"/>
  <c r="H3502" i="1"/>
  <c r="I3502" i="1"/>
  <c r="J3502" i="1"/>
  <c r="A4480" i="1"/>
  <c r="G4480" i="1"/>
  <c r="H4480" i="1"/>
  <c r="I4480" i="1"/>
  <c r="J4480" i="1"/>
  <c r="K4480" i="1"/>
  <c r="M4480" i="1"/>
  <c r="A2272" i="1"/>
  <c r="G2272" i="1"/>
  <c r="H2272" i="1"/>
  <c r="I2272" i="1"/>
  <c r="J2272" i="1"/>
  <c r="A4481" i="1"/>
  <c r="G4481" i="1"/>
  <c r="H4481" i="1"/>
  <c r="I4481" i="1"/>
  <c r="J4481" i="1"/>
  <c r="M4481" i="1"/>
  <c r="A4242" i="1"/>
  <c r="G4242" i="1"/>
  <c r="H4242" i="1"/>
  <c r="I4242" i="1"/>
  <c r="J4242" i="1"/>
  <c r="K4242" i="1"/>
  <c r="M4242" i="1"/>
  <c r="A3503" i="1"/>
  <c r="G3503" i="1"/>
  <c r="H3503" i="1"/>
  <c r="I3503" i="1"/>
  <c r="J3503" i="1"/>
  <c r="A981" i="1"/>
  <c r="G981" i="1"/>
  <c r="H981" i="1"/>
  <c r="I981" i="1"/>
  <c r="J981" i="1"/>
  <c r="A4482" i="1"/>
  <c r="G4482" i="1"/>
  <c r="H4482" i="1"/>
  <c r="I4482" i="1"/>
  <c r="J4482" i="1"/>
  <c r="K4482" i="1"/>
  <c r="M4482" i="1"/>
  <c r="A3504" i="1"/>
  <c r="G3504" i="1"/>
  <c r="H3504" i="1"/>
  <c r="I3504" i="1"/>
  <c r="J3504" i="1"/>
  <c r="A982" i="1"/>
  <c r="G982" i="1"/>
  <c r="H982" i="1"/>
  <c r="I982" i="1"/>
  <c r="J982" i="1"/>
  <c r="K982" i="1"/>
  <c r="M982" i="1"/>
  <c r="A3505" i="1"/>
  <c r="G3505" i="1"/>
  <c r="H3505" i="1"/>
  <c r="I3505" i="1"/>
  <c r="J3505" i="1"/>
  <c r="K3505" i="1"/>
  <c r="M3505" i="1"/>
  <c r="A983" i="1"/>
  <c r="G983" i="1"/>
  <c r="H983" i="1"/>
  <c r="I983" i="1"/>
  <c r="J983" i="1"/>
  <c r="K983" i="1"/>
  <c r="M983" i="1"/>
  <c r="A984" i="1"/>
  <c r="G984" i="1"/>
  <c r="H984" i="1"/>
  <c r="I984" i="1"/>
  <c r="J984" i="1"/>
  <c r="K984" i="1"/>
  <c r="M984" i="1"/>
  <c r="A985" i="1"/>
  <c r="G985" i="1"/>
  <c r="H985" i="1"/>
  <c r="I985" i="1"/>
  <c r="J985" i="1"/>
  <c r="K985" i="1"/>
  <c r="M985" i="1"/>
  <c r="A2273" i="1"/>
  <c r="G2273" i="1"/>
  <c r="H2273" i="1"/>
  <c r="I2273" i="1"/>
  <c r="J2273" i="1"/>
  <c r="K2273" i="1"/>
  <c r="M2273" i="1"/>
  <c r="A986" i="1"/>
  <c r="G986" i="1"/>
  <c r="H986" i="1"/>
  <c r="I986" i="1"/>
  <c r="J986" i="1"/>
  <c r="K986" i="1"/>
  <c r="M986" i="1"/>
  <c r="A2274" i="1"/>
  <c r="G2274" i="1"/>
  <c r="H2274" i="1"/>
  <c r="I2274" i="1"/>
  <c r="J2274" i="1"/>
  <c r="K2274" i="1"/>
  <c r="M2274" i="1"/>
  <c r="A987" i="1"/>
  <c r="G987" i="1"/>
  <c r="H987" i="1"/>
  <c r="I987" i="1"/>
  <c r="J987" i="1"/>
  <c r="K987" i="1"/>
  <c r="M987" i="1"/>
  <c r="A988" i="1"/>
  <c r="G988" i="1"/>
  <c r="H988" i="1"/>
  <c r="I988" i="1"/>
  <c r="J988" i="1"/>
  <c r="K988" i="1"/>
  <c r="M988" i="1"/>
  <c r="A4483" i="1"/>
  <c r="G4483" i="1"/>
  <c r="H4483" i="1"/>
  <c r="I4483" i="1"/>
  <c r="J4483" i="1"/>
  <c r="K4483" i="1"/>
  <c r="M4483" i="1"/>
  <c r="A3506" i="1"/>
  <c r="G3506" i="1"/>
  <c r="H3506" i="1"/>
  <c r="I3506" i="1"/>
  <c r="J3506" i="1"/>
  <c r="A3507" i="1"/>
  <c r="G3507" i="1"/>
  <c r="H3507" i="1"/>
  <c r="I3507" i="1"/>
  <c r="J3507" i="1"/>
  <c r="K3507" i="1"/>
  <c r="M3507" i="1"/>
  <c r="A4788" i="1"/>
  <c r="G4788" i="1"/>
  <c r="H4788" i="1"/>
  <c r="I4788" i="1"/>
  <c r="J4788" i="1"/>
  <c r="K4788" i="1"/>
  <c r="M4788" i="1"/>
  <c r="A2275" i="1"/>
  <c r="G2275" i="1"/>
  <c r="H2275" i="1"/>
  <c r="I2275" i="1"/>
  <c r="J2275" i="1"/>
  <c r="A989" i="1"/>
  <c r="G989" i="1"/>
  <c r="H989" i="1"/>
  <c r="I989" i="1"/>
  <c r="J989" i="1"/>
  <c r="K989" i="1"/>
  <c r="M989" i="1"/>
  <c r="A2276" i="1"/>
  <c r="G2276" i="1"/>
  <c r="H2276" i="1"/>
  <c r="I2276" i="1"/>
  <c r="J2276" i="1"/>
  <c r="K2276" i="1"/>
  <c r="L2276" i="1"/>
  <c r="M2276" i="1"/>
  <c r="A2865" i="1"/>
  <c r="G2865" i="1"/>
  <c r="H2865" i="1"/>
  <c r="I2865" i="1"/>
  <c r="J2865" i="1"/>
  <c r="K2865" i="1"/>
  <c r="M2865" i="1"/>
  <c r="A2277" i="1"/>
  <c r="G2277" i="1"/>
  <c r="H2277" i="1"/>
  <c r="I2277" i="1"/>
  <c r="J2277" i="1"/>
  <c r="A2278" i="1"/>
  <c r="G2278" i="1"/>
  <c r="H2278" i="1"/>
  <c r="I2278" i="1"/>
  <c r="J2278" i="1"/>
  <c r="K2278" i="1"/>
  <c r="M2278" i="1"/>
  <c r="A990" i="1"/>
  <c r="G990" i="1"/>
  <c r="H990" i="1"/>
  <c r="I990" i="1"/>
  <c r="J990" i="1"/>
  <c r="M990" i="1"/>
  <c r="A3508" i="1"/>
  <c r="G3508" i="1"/>
  <c r="H3508" i="1"/>
  <c r="I3508" i="1"/>
  <c r="J3508" i="1"/>
  <c r="A991" i="1"/>
  <c r="G991" i="1"/>
  <c r="H991" i="1"/>
  <c r="I991" i="1"/>
  <c r="J991" i="1"/>
  <c r="K991" i="1"/>
  <c r="M991" i="1"/>
  <c r="A3509" i="1"/>
  <c r="G3509" i="1"/>
  <c r="H3509" i="1"/>
  <c r="I3509" i="1"/>
  <c r="J3509" i="1"/>
  <c r="K3509" i="1"/>
  <c r="M3509" i="1"/>
  <c r="A3510" i="1"/>
  <c r="G3510" i="1"/>
  <c r="H3510" i="1"/>
  <c r="I3510" i="1"/>
  <c r="J3510" i="1"/>
  <c r="K3510" i="1"/>
  <c r="M3510" i="1"/>
  <c r="A3511" i="1"/>
  <c r="G3511" i="1"/>
  <c r="H3511" i="1"/>
  <c r="I3511" i="1"/>
  <c r="J3511" i="1"/>
  <c r="A3512" i="1"/>
  <c r="G3512" i="1"/>
  <c r="H3512" i="1"/>
  <c r="I3512" i="1"/>
  <c r="J3512" i="1"/>
  <c r="A3513" i="1"/>
  <c r="G3513" i="1"/>
  <c r="H3513" i="1"/>
  <c r="I3513" i="1"/>
  <c r="J3513" i="1"/>
  <c r="K3513" i="1"/>
  <c r="M3513" i="1"/>
  <c r="A85" i="1"/>
  <c r="G85" i="1"/>
  <c r="H85" i="1"/>
  <c r="I85" i="1"/>
  <c r="J85" i="1"/>
  <c r="A2279" i="1"/>
  <c r="G2279" i="1"/>
  <c r="H2279" i="1"/>
  <c r="I2279" i="1"/>
  <c r="J2279" i="1"/>
  <c r="M2279" i="1"/>
  <c r="A2280" i="1"/>
  <c r="G2280" i="1"/>
  <c r="H2280" i="1"/>
  <c r="I2280" i="1"/>
  <c r="J2280" i="1"/>
  <c r="A4243" i="1"/>
  <c r="G4243" i="1"/>
  <c r="H4243" i="1"/>
  <c r="I4243" i="1"/>
  <c r="J4243" i="1"/>
  <c r="A992" i="1"/>
  <c r="G992" i="1"/>
  <c r="H992" i="1"/>
  <c r="I992" i="1"/>
  <c r="J992" i="1"/>
  <c r="K992" i="1"/>
  <c r="M992" i="1"/>
  <c r="A993" i="1"/>
  <c r="G993" i="1"/>
  <c r="H993" i="1"/>
  <c r="I993" i="1"/>
  <c r="J993" i="1"/>
  <c r="K993" i="1"/>
  <c r="M993" i="1"/>
  <c r="A994" i="1"/>
  <c r="G994" i="1"/>
  <c r="H994" i="1"/>
  <c r="I994" i="1"/>
  <c r="J994" i="1"/>
  <c r="K994" i="1"/>
  <c r="M994" i="1"/>
  <c r="A995" i="1"/>
  <c r="G995" i="1"/>
  <c r="H995" i="1"/>
  <c r="I995" i="1"/>
  <c r="J995" i="1"/>
  <c r="K995" i="1"/>
  <c r="M995" i="1"/>
  <c r="A4164" i="1"/>
  <c r="G4164" i="1"/>
  <c r="H4164" i="1"/>
  <c r="I4164" i="1"/>
  <c r="J4164" i="1"/>
  <c r="K4164" i="1"/>
  <c r="M4164" i="1"/>
  <c r="A2790" i="1"/>
  <c r="G2790" i="1"/>
  <c r="H2790" i="1"/>
  <c r="I2790" i="1"/>
  <c r="J2790" i="1"/>
  <c r="K2790" i="1"/>
  <c r="M2790" i="1"/>
  <c r="A996" i="1"/>
  <c r="G996" i="1"/>
  <c r="H996" i="1"/>
  <c r="I996" i="1"/>
  <c r="J996" i="1"/>
  <c r="M996" i="1"/>
  <c r="A4709" i="1"/>
  <c r="G4709" i="1"/>
  <c r="H4709" i="1"/>
  <c r="I4709" i="1"/>
  <c r="J4709" i="1"/>
  <c r="M4709" i="1"/>
  <c r="A2281" i="1"/>
  <c r="G2281" i="1"/>
  <c r="H2281" i="1"/>
  <c r="I2281" i="1"/>
  <c r="J2281" i="1"/>
  <c r="K2281" i="1"/>
  <c r="M2281" i="1"/>
  <c r="A2282" i="1"/>
  <c r="G2282" i="1"/>
  <c r="H2282" i="1"/>
  <c r="I2282" i="1"/>
  <c r="J2282" i="1"/>
  <c r="K2282" i="1"/>
  <c r="M2282" i="1"/>
  <c r="A86" i="1"/>
  <c r="G86" i="1"/>
  <c r="H86" i="1"/>
  <c r="I86" i="1"/>
  <c r="J86" i="1"/>
  <c r="K86" i="1"/>
  <c r="M86" i="1"/>
  <c r="A997" i="1"/>
  <c r="G997" i="1"/>
  <c r="H997" i="1"/>
  <c r="I997" i="1"/>
  <c r="J997" i="1"/>
  <c r="K997" i="1"/>
  <c r="M997" i="1"/>
  <c r="A998" i="1"/>
  <c r="G998" i="1"/>
  <c r="H998" i="1"/>
  <c r="I998" i="1"/>
  <c r="J998" i="1"/>
  <c r="K998" i="1"/>
  <c r="M998" i="1"/>
  <c r="A999" i="1"/>
  <c r="G999" i="1"/>
  <c r="H999" i="1"/>
  <c r="I999" i="1"/>
  <c r="J999" i="1"/>
  <c r="L999" i="1"/>
  <c r="M999" i="1"/>
  <c r="A1000" i="1"/>
  <c r="G1000" i="1"/>
  <c r="H1000" i="1"/>
  <c r="I1000" i="1"/>
  <c r="J1000" i="1"/>
  <c r="K1000" i="1"/>
  <c r="M1000" i="1"/>
  <c r="A2283" i="1"/>
  <c r="G2283" i="1"/>
  <c r="H2283" i="1"/>
  <c r="I2283" i="1"/>
  <c r="J2283" i="1"/>
  <c r="A4244" i="1"/>
  <c r="G4244" i="1"/>
  <c r="H4244" i="1"/>
  <c r="I4244" i="1"/>
  <c r="J4244" i="1"/>
  <c r="K4244" i="1"/>
  <c r="M4244" i="1"/>
  <c r="A1001" i="1"/>
  <c r="G1001" i="1"/>
  <c r="H1001" i="1"/>
  <c r="I1001" i="1"/>
  <c r="J1001" i="1"/>
  <c r="M1001" i="1"/>
  <c r="A1002" i="1"/>
  <c r="G1002" i="1"/>
  <c r="H1002" i="1"/>
  <c r="I1002" i="1"/>
  <c r="J1002" i="1"/>
  <c r="M1002" i="1"/>
  <c r="A2284" i="1"/>
  <c r="G2284" i="1"/>
  <c r="H2284" i="1"/>
  <c r="I2284" i="1"/>
  <c r="J2284" i="1"/>
  <c r="A3514" i="1"/>
  <c r="G3514" i="1"/>
  <c r="H3514" i="1"/>
  <c r="I3514" i="1"/>
  <c r="J3514" i="1"/>
  <c r="K3514" i="1"/>
  <c r="M3514" i="1"/>
  <c r="A2866" i="1"/>
  <c r="G2866" i="1"/>
  <c r="H2866" i="1"/>
  <c r="I2866" i="1"/>
  <c r="J2866" i="1"/>
  <c r="K2866" i="1"/>
  <c r="M2866" i="1"/>
  <c r="A3515" i="1"/>
  <c r="G3515" i="1"/>
  <c r="H3515" i="1"/>
  <c r="I3515" i="1"/>
  <c r="J3515" i="1"/>
  <c r="K3515" i="1"/>
  <c r="M3515" i="1"/>
  <c r="A2285" i="1"/>
  <c r="G2285" i="1"/>
  <c r="H2285" i="1"/>
  <c r="I2285" i="1"/>
  <c r="J2285" i="1"/>
  <c r="K2285" i="1"/>
  <c r="M2285" i="1"/>
  <c r="A1003" i="1"/>
  <c r="G1003" i="1"/>
  <c r="H1003" i="1"/>
  <c r="I1003" i="1"/>
  <c r="J1003" i="1"/>
  <c r="K1003" i="1"/>
  <c r="M1003" i="1"/>
  <c r="A2286" i="1"/>
  <c r="G2286" i="1"/>
  <c r="H2286" i="1"/>
  <c r="I2286" i="1"/>
  <c r="J2286" i="1"/>
  <c r="A4710" i="1"/>
  <c r="G4710" i="1"/>
  <c r="H4710" i="1"/>
  <c r="I4710" i="1"/>
  <c r="J4710" i="1"/>
  <c r="M4710" i="1"/>
  <c r="A3516" i="1"/>
  <c r="G3516" i="1"/>
  <c r="H3516" i="1"/>
  <c r="I3516" i="1"/>
  <c r="J3516" i="1"/>
  <c r="K3516" i="1"/>
  <c r="M3516" i="1"/>
  <c r="A3517" i="1"/>
  <c r="G3517" i="1"/>
  <c r="H3517" i="1"/>
  <c r="I3517" i="1"/>
  <c r="J3517" i="1"/>
  <c r="A3518" i="1"/>
  <c r="G3518" i="1"/>
  <c r="H3518" i="1"/>
  <c r="I3518" i="1"/>
  <c r="J3518" i="1"/>
  <c r="K3518" i="1"/>
  <c r="M3518" i="1"/>
  <c r="A2287" i="1"/>
  <c r="G2287" i="1"/>
  <c r="H2287" i="1"/>
  <c r="I2287" i="1"/>
  <c r="J2287" i="1"/>
  <c r="K2287" i="1"/>
  <c r="M2287" i="1"/>
  <c r="A3519" i="1"/>
  <c r="G3519" i="1"/>
  <c r="H3519" i="1"/>
  <c r="I3519" i="1"/>
  <c r="J3519" i="1"/>
  <c r="K3519" i="1"/>
  <c r="M3519" i="1"/>
  <c r="A1004" i="1"/>
  <c r="G1004" i="1"/>
  <c r="H1004" i="1"/>
  <c r="I1004" i="1"/>
  <c r="J1004" i="1"/>
  <c r="M1004" i="1"/>
  <c r="A3520" i="1"/>
  <c r="G3520" i="1"/>
  <c r="H3520" i="1"/>
  <c r="I3520" i="1"/>
  <c r="J3520" i="1"/>
  <c r="K3520" i="1"/>
  <c r="M3520" i="1"/>
  <c r="A3521" i="1"/>
  <c r="G3521" i="1"/>
  <c r="H3521" i="1"/>
  <c r="I3521" i="1"/>
  <c r="J3521" i="1"/>
  <c r="K3521" i="1"/>
  <c r="M3521" i="1"/>
  <c r="A1005" i="1"/>
  <c r="G1005" i="1"/>
  <c r="H1005" i="1"/>
  <c r="I1005" i="1"/>
  <c r="J1005" i="1"/>
  <c r="M1005" i="1"/>
  <c r="A3522" i="1"/>
  <c r="G3522" i="1"/>
  <c r="H3522" i="1"/>
  <c r="I3522" i="1"/>
  <c r="J3522" i="1"/>
  <c r="K3522" i="1"/>
  <c r="M3522" i="1"/>
  <c r="A3523" i="1"/>
  <c r="G3523" i="1"/>
  <c r="H3523" i="1"/>
  <c r="I3523" i="1"/>
  <c r="J3523" i="1"/>
  <c r="A3524" i="1"/>
  <c r="G3524" i="1"/>
  <c r="H3524" i="1"/>
  <c r="I3524" i="1"/>
  <c r="J3524" i="1"/>
  <c r="A2288" i="1"/>
  <c r="G2288" i="1"/>
  <c r="H2288" i="1"/>
  <c r="I2288" i="1"/>
  <c r="J2288" i="1"/>
  <c r="K2288" i="1"/>
  <c r="M2288" i="1"/>
  <c r="A1006" i="1"/>
  <c r="G1006" i="1"/>
  <c r="H1006" i="1"/>
  <c r="I1006" i="1"/>
  <c r="J1006" i="1"/>
  <c r="M1006" i="1"/>
  <c r="A4611" i="1"/>
  <c r="G4611" i="1"/>
  <c r="H4611" i="1"/>
  <c r="I4611" i="1"/>
  <c r="J4611" i="1"/>
  <c r="A3525" i="1"/>
  <c r="G3525" i="1"/>
  <c r="H3525" i="1"/>
  <c r="I3525" i="1"/>
  <c r="J3525" i="1"/>
  <c r="A4612" i="1"/>
  <c r="G4612" i="1"/>
  <c r="H4612" i="1"/>
  <c r="I4612" i="1"/>
  <c r="J4612" i="1"/>
  <c r="K4612" i="1"/>
  <c r="M4612" i="1"/>
  <c r="A1007" i="1"/>
  <c r="G1007" i="1"/>
  <c r="H1007" i="1"/>
  <c r="I1007" i="1"/>
  <c r="J1007" i="1"/>
  <c r="M1007" i="1"/>
  <c r="A2289" i="1"/>
  <c r="G2289" i="1"/>
  <c r="H2289" i="1"/>
  <c r="I2289" i="1"/>
  <c r="J2289" i="1"/>
  <c r="K2289" i="1"/>
  <c r="M2289" i="1"/>
  <c r="A3526" i="1"/>
  <c r="G3526" i="1"/>
  <c r="H3526" i="1"/>
  <c r="I3526" i="1"/>
  <c r="J3526" i="1"/>
  <c r="A4789" i="1"/>
  <c r="G4789" i="1"/>
  <c r="H4789" i="1"/>
  <c r="I4789" i="1"/>
  <c r="J4789" i="1"/>
  <c r="K4789" i="1"/>
  <c r="M4789" i="1"/>
  <c r="A1008" i="1"/>
  <c r="G1008" i="1"/>
  <c r="H1008" i="1"/>
  <c r="I1008" i="1"/>
  <c r="J1008" i="1"/>
  <c r="K1008" i="1"/>
  <c r="M1008" i="1"/>
  <c r="A2290" i="1"/>
  <c r="G2290" i="1"/>
  <c r="H2290" i="1"/>
  <c r="I2290" i="1"/>
  <c r="J2290" i="1"/>
  <c r="A1009" i="1"/>
  <c r="G1009" i="1"/>
  <c r="H1009" i="1"/>
  <c r="I1009" i="1"/>
  <c r="J1009" i="1"/>
  <c r="K1009" i="1"/>
  <c r="M1009" i="1"/>
  <c r="A2867" i="1"/>
  <c r="G2867" i="1"/>
  <c r="H2867" i="1"/>
  <c r="I2867" i="1"/>
  <c r="J2867" i="1"/>
  <c r="K2867" i="1"/>
  <c r="M2867" i="1"/>
  <c r="A3527" i="1"/>
  <c r="G3527" i="1"/>
  <c r="H3527" i="1"/>
  <c r="I3527" i="1"/>
  <c r="J3527" i="1"/>
  <c r="K3527" i="1"/>
  <c r="M3527" i="1"/>
  <c r="A3528" i="1"/>
  <c r="G3528" i="1"/>
  <c r="H3528" i="1"/>
  <c r="I3528" i="1"/>
  <c r="J3528" i="1"/>
  <c r="A3529" i="1"/>
  <c r="G3529" i="1"/>
  <c r="H3529" i="1"/>
  <c r="I3529" i="1"/>
  <c r="J3529" i="1"/>
  <c r="K3529" i="1"/>
  <c r="M3529" i="1"/>
  <c r="A1010" i="1"/>
  <c r="G1010" i="1"/>
  <c r="H1010" i="1"/>
  <c r="I1010" i="1"/>
  <c r="J1010" i="1"/>
  <c r="K1010" i="1"/>
  <c r="M1010" i="1"/>
  <c r="A2291" i="1"/>
  <c r="G2291" i="1"/>
  <c r="H2291" i="1"/>
  <c r="I2291" i="1"/>
  <c r="J2291" i="1"/>
  <c r="K2291" i="1"/>
  <c r="M2291" i="1"/>
  <c r="A87" i="1"/>
  <c r="G87" i="1"/>
  <c r="H87" i="1"/>
  <c r="I87" i="1"/>
  <c r="J87" i="1"/>
  <c r="A4245" i="1"/>
  <c r="G4245" i="1"/>
  <c r="H4245" i="1"/>
  <c r="I4245" i="1"/>
  <c r="J4245" i="1"/>
  <c r="K4245" i="1"/>
  <c r="M4245" i="1"/>
  <c r="A1011" i="1"/>
  <c r="G1011" i="1"/>
  <c r="H1011" i="1"/>
  <c r="I1011" i="1"/>
  <c r="J1011" i="1"/>
  <c r="K1011" i="1"/>
  <c r="M1011" i="1"/>
  <c r="A2292" i="1"/>
  <c r="G2292" i="1"/>
  <c r="H2292" i="1"/>
  <c r="I2292" i="1"/>
  <c r="J2292" i="1"/>
  <c r="K2292" i="1"/>
  <c r="M2292" i="1"/>
  <c r="A1012" i="1"/>
  <c r="G1012" i="1"/>
  <c r="H1012" i="1"/>
  <c r="I1012" i="1"/>
  <c r="J1012" i="1"/>
  <c r="K1012" i="1"/>
  <c r="M1012" i="1"/>
  <c r="A1013" i="1"/>
  <c r="G1013" i="1"/>
  <c r="H1013" i="1"/>
  <c r="I1013" i="1"/>
  <c r="J1013" i="1"/>
  <c r="K1013" i="1"/>
  <c r="M1013" i="1"/>
  <c r="A2293" i="1"/>
  <c r="G2293" i="1"/>
  <c r="H2293" i="1"/>
  <c r="I2293" i="1"/>
  <c r="J2293" i="1"/>
  <c r="K2293" i="1"/>
  <c r="M2293" i="1"/>
  <c r="A1014" i="1"/>
  <c r="G1014" i="1"/>
  <c r="H1014" i="1"/>
  <c r="I1014" i="1"/>
  <c r="J1014" i="1"/>
  <c r="K1014" i="1"/>
  <c r="M1014" i="1"/>
  <c r="A1015" i="1"/>
  <c r="G1015" i="1"/>
  <c r="H1015" i="1"/>
  <c r="I1015" i="1"/>
  <c r="J1015" i="1"/>
  <c r="K1015" i="1"/>
  <c r="M1015" i="1"/>
  <c r="A1016" i="1"/>
  <c r="G1016" i="1"/>
  <c r="H1016" i="1"/>
  <c r="I1016" i="1"/>
  <c r="J1016" i="1"/>
  <c r="K1016" i="1"/>
  <c r="M1016" i="1"/>
  <c r="A2294" i="1"/>
  <c r="G2294" i="1"/>
  <c r="H2294" i="1"/>
  <c r="I2294" i="1"/>
  <c r="J2294" i="1"/>
  <c r="K2294" i="1"/>
  <c r="M2294" i="1"/>
  <c r="A1017" i="1"/>
  <c r="G1017" i="1"/>
  <c r="H1017" i="1"/>
  <c r="I1017" i="1"/>
  <c r="J1017" i="1"/>
  <c r="K1017" i="1"/>
  <c r="M1017" i="1"/>
  <c r="A4484" i="1"/>
  <c r="G4484" i="1"/>
  <c r="H4484" i="1"/>
  <c r="I4484" i="1"/>
  <c r="J4484" i="1"/>
  <c r="K4484" i="1"/>
  <c r="M4484" i="1"/>
  <c r="A2295" i="1"/>
  <c r="G2295" i="1"/>
  <c r="H2295" i="1"/>
  <c r="I2295" i="1"/>
  <c r="J2295" i="1"/>
  <c r="K2295" i="1"/>
  <c r="M2295" i="1"/>
  <c r="A2296" i="1"/>
  <c r="G2296" i="1"/>
  <c r="H2296" i="1"/>
  <c r="I2296" i="1"/>
  <c r="J2296" i="1"/>
  <c r="A2791" i="1"/>
  <c r="G2791" i="1"/>
  <c r="H2791" i="1"/>
  <c r="I2791" i="1"/>
  <c r="J2791" i="1"/>
  <c r="K2791" i="1"/>
  <c r="M2791" i="1"/>
  <c r="A2297" i="1"/>
  <c r="G2297" i="1"/>
  <c r="H2297" i="1"/>
  <c r="I2297" i="1"/>
  <c r="J2297" i="1"/>
  <c r="A2298" i="1"/>
  <c r="G2298" i="1"/>
  <c r="H2298" i="1"/>
  <c r="I2298" i="1"/>
  <c r="J2298" i="1"/>
  <c r="K2298" i="1"/>
  <c r="M2298" i="1"/>
  <c r="A3530" i="1"/>
  <c r="G3530" i="1"/>
  <c r="H3530" i="1"/>
  <c r="I3530" i="1"/>
  <c r="J3530" i="1"/>
  <c r="K3530" i="1"/>
  <c r="M3530" i="1"/>
  <c r="A1018" i="1"/>
  <c r="G1018" i="1"/>
  <c r="H1018" i="1"/>
  <c r="I1018" i="1"/>
  <c r="J1018" i="1"/>
  <c r="K1018" i="1"/>
  <c r="L1018" i="1"/>
  <c r="M1018" i="1"/>
  <c r="A2299" i="1"/>
  <c r="G2299" i="1"/>
  <c r="H2299" i="1"/>
  <c r="I2299" i="1"/>
  <c r="J2299" i="1"/>
  <c r="K2299" i="1"/>
  <c r="M2299" i="1"/>
  <c r="A3531" i="1"/>
  <c r="G3531" i="1"/>
  <c r="H3531" i="1"/>
  <c r="I3531" i="1"/>
  <c r="J3531" i="1"/>
  <c r="A4711" i="1"/>
  <c r="G4711" i="1"/>
  <c r="H4711" i="1"/>
  <c r="I4711" i="1"/>
  <c r="J4711" i="1"/>
  <c r="M4711" i="1"/>
  <c r="A3532" i="1"/>
  <c r="G3532" i="1"/>
  <c r="H3532" i="1"/>
  <c r="I3532" i="1"/>
  <c r="J3532" i="1"/>
  <c r="A1019" i="1"/>
  <c r="G1019" i="1"/>
  <c r="H1019" i="1"/>
  <c r="I1019" i="1"/>
  <c r="J1019" i="1"/>
  <c r="K1019" i="1"/>
  <c r="M1019" i="1"/>
  <c r="A2300" i="1"/>
  <c r="G2300" i="1"/>
  <c r="H2300" i="1"/>
  <c r="I2300" i="1"/>
  <c r="J2300" i="1"/>
  <c r="K2300" i="1"/>
  <c r="M2300" i="1"/>
  <c r="A1020" i="1"/>
  <c r="G1020" i="1"/>
  <c r="H1020" i="1"/>
  <c r="I1020" i="1"/>
  <c r="J1020" i="1"/>
  <c r="K1020" i="1"/>
  <c r="M1020" i="1"/>
  <c r="A2301" i="1"/>
  <c r="G2301" i="1"/>
  <c r="H2301" i="1"/>
  <c r="I2301" i="1"/>
  <c r="J2301" i="1"/>
  <c r="K2301" i="1"/>
  <c r="M2301" i="1"/>
  <c r="A1021" i="1"/>
  <c r="G1021" i="1"/>
  <c r="H1021" i="1"/>
  <c r="I1021" i="1"/>
  <c r="J1021" i="1"/>
  <c r="K1021" i="1"/>
  <c r="M1021" i="1"/>
  <c r="A3533" i="1"/>
  <c r="G3533" i="1"/>
  <c r="H3533" i="1"/>
  <c r="I3533" i="1"/>
  <c r="J3533" i="1"/>
  <c r="K3533" i="1"/>
  <c r="M3533" i="1"/>
  <c r="A4485" i="1"/>
  <c r="G4485" i="1"/>
  <c r="H4485" i="1"/>
  <c r="I4485" i="1"/>
  <c r="J4485" i="1"/>
  <c r="K4485" i="1"/>
  <c r="M4485" i="1"/>
  <c r="A2302" i="1"/>
  <c r="G2302" i="1"/>
  <c r="H2302" i="1"/>
  <c r="I2302" i="1"/>
  <c r="J2302" i="1"/>
  <c r="A2792" i="1"/>
  <c r="G2792" i="1"/>
  <c r="H2792" i="1"/>
  <c r="I2792" i="1"/>
  <c r="J2792" i="1"/>
  <c r="K2792" i="1"/>
  <c r="M2792" i="1"/>
  <c r="A3534" i="1"/>
  <c r="G3534" i="1"/>
  <c r="H3534" i="1"/>
  <c r="I3534" i="1"/>
  <c r="J3534" i="1"/>
  <c r="A1022" i="1"/>
  <c r="G1022" i="1"/>
  <c r="H1022" i="1"/>
  <c r="I1022" i="1"/>
  <c r="J1022" i="1"/>
  <c r="K1022" i="1"/>
  <c r="M1022" i="1"/>
  <c r="A1023" i="1"/>
  <c r="G1023" i="1"/>
  <c r="H1023" i="1"/>
  <c r="I1023" i="1"/>
  <c r="J1023" i="1"/>
  <c r="K1023" i="1"/>
  <c r="M1023" i="1"/>
  <c r="A1024" i="1"/>
  <c r="G1024" i="1"/>
  <c r="H1024" i="1"/>
  <c r="I1024" i="1"/>
  <c r="J1024" i="1"/>
  <c r="K1024" i="1"/>
  <c r="M1024" i="1"/>
  <c r="A3535" i="1"/>
  <c r="G3535" i="1"/>
  <c r="H3535" i="1"/>
  <c r="I3535" i="1"/>
  <c r="J3535" i="1"/>
  <c r="A1025" i="1"/>
  <c r="G1025" i="1"/>
  <c r="H1025" i="1"/>
  <c r="I1025" i="1"/>
  <c r="J1025" i="1"/>
  <c r="K1025" i="1"/>
  <c r="M1025" i="1"/>
  <c r="A3536" i="1"/>
  <c r="G3536" i="1"/>
  <c r="H3536" i="1"/>
  <c r="I3536" i="1"/>
  <c r="J3536" i="1"/>
  <c r="K3536" i="1"/>
  <c r="M3536" i="1"/>
  <c r="A1026" i="1"/>
  <c r="G1026" i="1"/>
  <c r="H1026" i="1"/>
  <c r="I1026" i="1"/>
  <c r="J1026" i="1"/>
  <c r="K1026" i="1"/>
  <c r="M1026" i="1"/>
  <c r="A4712" i="1"/>
  <c r="G4712" i="1"/>
  <c r="H4712" i="1"/>
  <c r="I4712" i="1"/>
  <c r="J4712" i="1"/>
  <c r="M4712" i="1"/>
  <c r="A3537" i="1"/>
  <c r="G3537" i="1"/>
  <c r="H3537" i="1"/>
  <c r="I3537" i="1"/>
  <c r="J3537" i="1"/>
  <c r="A2303" i="1"/>
  <c r="G2303" i="1"/>
  <c r="H2303" i="1"/>
  <c r="I2303" i="1"/>
  <c r="J2303" i="1"/>
  <c r="K2303" i="1"/>
  <c r="M2303" i="1"/>
  <c r="A2304" i="1"/>
  <c r="G2304" i="1"/>
  <c r="H2304" i="1"/>
  <c r="I2304" i="1"/>
  <c r="J2304" i="1"/>
  <c r="K2304" i="1"/>
  <c r="M2304" i="1"/>
  <c r="A3538" i="1"/>
  <c r="G3538" i="1"/>
  <c r="H3538" i="1"/>
  <c r="I3538" i="1"/>
  <c r="J3538" i="1"/>
  <c r="A1027" i="1"/>
  <c r="G1027" i="1"/>
  <c r="H1027" i="1"/>
  <c r="I1027" i="1"/>
  <c r="J1027" i="1"/>
  <c r="M1027" i="1"/>
  <c r="A1028" i="1"/>
  <c r="G1028" i="1"/>
  <c r="H1028" i="1"/>
  <c r="I1028" i="1"/>
  <c r="J1028" i="1"/>
  <c r="M1028" i="1"/>
  <c r="A3539" i="1"/>
  <c r="G3539" i="1"/>
  <c r="H3539" i="1"/>
  <c r="I3539" i="1"/>
  <c r="J3539" i="1"/>
  <c r="A2305" i="1"/>
  <c r="G2305" i="1"/>
  <c r="H2305" i="1"/>
  <c r="I2305" i="1"/>
  <c r="J2305" i="1"/>
  <c r="K2305" i="1"/>
  <c r="M2305" i="1"/>
  <c r="A1029" i="1"/>
  <c r="G1029" i="1"/>
  <c r="H1029" i="1"/>
  <c r="I1029" i="1"/>
  <c r="J1029" i="1"/>
  <c r="K1029" i="1"/>
  <c r="M1029" i="1"/>
  <c r="A4713" i="1"/>
  <c r="G4713" i="1"/>
  <c r="H4713" i="1"/>
  <c r="I4713" i="1"/>
  <c r="J4713" i="1"/>
  <c r="M4713" i="1"/>
  <c r="A1030" i="1"/>
  <c r="G1030" i="1"/>
  <c r="H1030" i="1"/>
  <c r="I1030" i="1"/>
  <c r="J1030" i="1"/>
  <c r="M1030" i="1"/>
  <c r="A1031" i="1"/>
  <c r="G1031" i="1"/>
  <c r="H1031" i="1"/>
  <c r="I1031" i="1"/>
  <c r="J1031" i="1"/>
  <c r="K1031" i="1"/>
  <c r="M1031" i="1"/>
  <c r="A3540" i="1"/>
  <c r="G3540" i="1"/>
  <c r="H3540" i="1"/>
  <c r="I3540" i="1"/>
  <c r="J3540" i="1"/>
  <c r="A1032" i="1"/>
  <c r="G1032" i="1"/>
  <c r="H1032" i="1"/>
  <c r="I1032" i="1"/>
  <c r="J1032" i="1"/>
  <c r="M1032" i="1"/>
  <c r="A3541" i="1"/>
  <c r="G3541" i="1"/>
  <c r="H3541" i="1"/>
  <c r="I3541" i="1"/>
  <c r="J3541" i="1"/>
  <c r="K3541" i="1"/>
  <c r="M3541" i="1"/>
  <c r="A1033" i="1"/>
  <c r="G1033" i="1"/>
  <c r="H1033" i="1"/>
  <c r="I1033" i="1"/>
  <c r="J1033" i="1"/>
  <c r="K1033" i="1"/>
  <c r="M1033" i="1"/>
  <c r="A2306" i="1"/>
  <c r="G2306" i="1"/>
  <c r="H2306" i="1"/>
  <c r="I2306" i="1"/>
  <c r="J2306" i="1"/>
  <c r="K2306" i="1"/>
  <c r="M2306" i="1"/>
  <c r="A4714" i="1"/>
  <c r="G4714" i="1"/>
  <c r="H4714" i="1"/>
  <c r="I4714" i="1"/>
  <c r="J4714" i="1"/>
  <c r="M4714" i="1"/>
  <c r="A3542" i="1"/>
  <c r="G3542" i="1"/>
  <c r="H3542" i="1"/>
  <c r="I3542" i="1"/>
  <c r="J3542" i="1"/>
  <c r="K3542" i="1"/>
  <c r="M3542" i="1"/>
  <c r="A1034" i="1"/>
  <c r="G1034" i="1"/>
  <c r="H1034" i="1"/>
  <c r="I1034" i="1"/>
  <c r="J1034" i="1"/>
  <c r="K1034" i="1"/>
  <c r="M1034" i="1"/>
  <c r="A3543" i="1"/>
  <c r="G3543" i="1"/>
  <c r="H3543" i="1"/>
  <c r="I3543" i="1"/>
  <c r="J3543" i="1"/>
  <c r="K3543" i="1"/>
  <c r="M3543" i="1"/>
  <c r="A3544" i="1"/>
  <c r="G3544" i="1"/>
  <c r="H3544" i="1"/>
  <c r="I3544" i="1"/>
  <c r="J3544" i="1"/>
  <c r="A4715" i="1"/>
  <c r="G4715" i="1"/>
  <c r="H4715" i="1"/>
  <c r="I4715" i="1"/>
  <c r="J4715" i="1"/>
  <c r="M4715" i="1"/>
  <c r="A88" i="1"/>
  <c r="G88" i="1"/>
  <c r="H88" i="1"/>
  <c r="I88" i="1"/>
  <c r="J88" i="1"/>
  <c r="A3545" i="1"/>
  <c r="G3545" i="1"/>
  <c r="H3545" i="1"/>
  <c r="I3545" i="1"/>
  <c r="J3545" i="1"/>
  <c r="K3545" i="1"/>
  <c r="M3545" i="1"/>
  <c r="A1035" i="1"/>
  <c r="G1035" i="1"/>
  <c r="H1035" i="1"/>
  <c r="I1035" i="1"/>
  <c r="J1035" i="1"/>
  <c r="K1035" i="1"/>
  <c r="M1035" i="1"/>
  <c r="A3546" i="1"/>
  <c r="G3546" i="1"/>
  <c r="H3546" i="1"/>
  <c r="I3546" i="1"/>
  <c r="J3546" i="1"/>
  <c r="K3546" i="1"/>
  <c r="M3546" i="1"/>
  <c r="A1036" i="1"/>
  <c r="G1036" i="1"/>
  <c r="H1036" i="1"/>
  <c r="I1036" i="1"/>
  <c r="J1036" i="1"/>
  <c r="K1036" i="1"/>
  <c r="M1036" i="1"/>
  <c r="A1037" i="1"/>
  <c r="G1037" i="1"/>
  <c r="H1037" i="1"/>
  <c r="I1037" i="1"/>
  <c r="J1037" i="1"/>
  <c r="K1037" i="1"/>
  <c r="M1037" i="1"/>
  <c r="A1038" i="1"/>
  <c r="G1038" i="1"/>
  <c r="H1038" i="1"/>
  <c r="I1038" i="1"/>
  <c r="J1038" i="1"/>
  <c r="K1038" i="1"/>
  <c r="M1038" i="1"/>
  <c r="A1039" i="1"/>
  <c r="G1039" i="1"/>
  <c r="H1039" i="1"/>
  <c r="I1039" i="1"/>
  <c r="J1039" i="1"/>
  <c r="M1039" i="1"/>
  <c r="A2307" i="1"/>
  <c r="G2307" i="1"/>
  <c r="H2307" i="1"/>
  <c r="I2307" i="1"/>
  <c r="J2307" i="1"/>
  <c r="K2307" i="1"/>
  <c r="M2307" i="1"/>
  <c r="A4165" i="1"/>
  <c r="G4165" i="1"/>
  <c r="H4165" i="1"/>
  <c r="I4165" i="1"/>
  <c r="J4165" i="1"/>
  <c r="K4165" i="1"/>
  <c r="M4165" i="1"/>
  <c r="A1040" i="1"/>
  <c r="G1040" i="1"/>
  <c r="H1040" i="1"/>
  <c r="I1040" i="1"/>
  <c r="J1040" i="1"/>
  <c r="A1041" i="1"/>
  <c r="G1041" i="1"/>
  <c r="H1041" i="1"/>
  <c r="I1041" i="1"/>
  <c r="J1041" i="1"/>
  <c r="K1041" i="1"/>
  <c r="M1041" i="1"/>
  <c r="A1042" i="1"/>
  <c r="G1042" i="1"/>
  <c r="H1042" i="1"/>
  <c r="I1042" i="1"/>
  <c r="J1042" i="1"/>
  <c r="K1042" i="1"/>
  <c r="M1042" i="1"/>
  <c r="A1043" i="1"/>
  <c r="G1043" i="1"/>
  <c r="H1043" i="1"/>
  <c r="I1043" i="1"/>
  <c r="J1043" i="1"/>
  <c r="L1043" i="1"/>
  <c r="M1043" i="1"/>
  <c r="A3547" i="1"/>
  <c r="G3547" i="1"/>
  <c r="H3547" i="1"/>
  <c r="I3547" i="1"/>
  <c r="J3547" i="1"/>
  <c r="K3547" i="1"/>
  <c r="M3547" i="1"/>
  <c r="A2308" i="1"/>
  <c r="G2308" i="1"/>
  <c r="H2308" i="1"/>
  <c r="I2308" i="1"/>
  <c r="J2308" i="1"/>
  <c r="A1044" i="1"/>
  <c r="G1044" i="1"/>
  <c r="H1044" i="1"/>
  <c r="I1044" i="1"/>
  <c r="J1044" i="1"/>
  <c r="K1044" i="1"/>
  <c r="M1044" i="1"/>
  <c r="A2309" i="1"/>
  <c r="G2309" i="1"/>
  <c r="H2309" i="1"/>
  <c r="I2309" i="1"/>
  <c r="J2309" i="1"/>
  <c r="A89" i="1"/>
  <c r="G89" i="1"/>
  <c r="H89" i="1"/>
  <c r="I89" i="1"/>
  <c r="J89" i="1"/>
  <c r="K89" i="1"/>
  <c r="M89" i="1"/>
  <c r="A4486" i="1"/>
  <c r="G4486" i="1"/>
  <c r="H4486" i="1"/>
  <c r="I4486" i="1"/>
  <c r="J4486" i="1"/>
  <c r="K4486" i="1"/>
  <c r="M4486" i="1"/>
  <c r="A1045" i="1"/>
  <c r="G1045" i="1"/>
  <c r="H1045" i="1"/>
  <c r="I1045" i="1"/>
  <c r="J1045" i="1"/>
  <c r="K1045" i="1"/>
  <c r="M1045" i="1"/>
  <c r="A90" i="1"/>
  <c r="G90" i="1"/>
  <c r="H90" i="1"/>
  <c r="I90" i="1"/>
  <c r="J90" i="1"/>
  <c r="K90" i="1"/>
  <c r="M90" i="1"/>
  <c r="A3548" i="1"/>
  <c r="G3548" i="1"/>
  <c r="H3548" i="1"/>
  <c r="I3548" i="1"/>
  <c r="J3548" i="1"/>
  <c r="K3548" i="1"/>
  <c r="M3548" i="1"/>
  <c r="A3" i="1"/>
  <c r="G3" i="1"/>
  <c r="H3" i="1"/>
  <c r="I3" i="1"/>
  <c r="J3" i="1"/>
  <c r="A4487" i="1"/>
  <c r="G4487" i="1"/>
  <c r="H4487" i="1"/>
  <c r="I4487" i="1"/>
  <c r="J4487" i="1"/>
  <c r="K4487" i="1"/>
  <c r="M4487" i="1"/>
  <c r="A1046" i="1"/>
  <c r="G1046" i="1"/>
  <c r="H1046" i="1"/>
  <c r="I1046" i="1"/>
  <c r="J1046" i="1"/>
  <c r="K1046" i="1"/>
  <c r="M1046" i="1"/>
  <c r="A3549" i="1"/>
  <c r="G3549" i="1"/>
  <c r="H3549" i="1"/>
  <c r="I3549" i="1"/>
  <c r="J3549" i="1"/>
  <c r="A3550" i="1"/>
  <c r="G3550" i="1"/>
  <c r="H3550" i="1"/>
  <c r="I3550" i="1"/>
  <c r="J3550" i="1"/>
  <c r="A3551" i="1"/>
  <c r="G3551" i="1"/>
  <c r="H3551" i="1"/>
  <c r="I3551" i="1"/>
  <c r="J3551" i="1"/>
  <c r="A1047" i="1"/>
  <c r="G1047" i="1"/>
  <c r="H1047" i="1"/>
  <c r="I1047" i="1"/>
  <c r="J1047" i="1"/>
  <c r="K1047" i="1"/>
  <c r="M1047" i="1"/>
  <c r="A4488" i="1"/>
  <c r="G4488" i="1"/>
  <c r="H4488" i="1"/>
  <c r="I4488" i="1"/>
  <c r="J4488" i="1"/>
  <c r="K4488" i="1"/>
  <c r="M4488" i="1"/>
  <c r="A2310" i="1"/>
  <c r="G2310" i="1"/>
  <c r="H2310" i="1"/>
  <c r="I2310" i="1"/>
  <c r="J2310" i="1"/>
  <c r="K2310" i="1"/>
  <c r="M2310" i="1"/>
  <c r="A1048" i="1"/>
  <c r="G1048" i="1"/>
  <c r="H1048" i="1"/>
  <c r="I1048" i="1"/>
  <c r="J1048" i="1"/>
  <c r="K1048" i="1"/>
  <c r="M1048" i="1"/>
  <c r="A4790" i="1"/>
  <c r="G4790" i="1"/>
  <c r="H4790" i="1"/>
  <c r="I4790" i="1"/>
  <c r="J4790" i="1"/>
  <c r="K4790" i="1"/>
  <c r="M4790" i="1"/>
  <c r="A1049" i="1"/>
  <c r="G1049" i="1"/>
  <c r="H1049" i="1"/>
  <c r="I1049" i="1"/>
  <c r="J1049" i="1"/>
  <c r="K1049" i="1"/>
  <c r="M1049" i="1"/>
  <c r="A1050" i="1"/>
  <c r="G1050" i="1"/>
  <c r="H1050" i="1"/>
  <c r="I1050" i="1"/>
  <c r="J1050" i="1"/>
  <c r="K1050" i="1"/>
  <c r="M1050" i="1"/>
  <c r="A3552" i="1"/>
  <c r="G3552" i="1"/>
  <c r="H3552" i="1"/>
  <c r="I3552" i="1"/>
  <c r="J3552" i="1"/>
  <c r="K3552" i="1"/>
  <c r="M3552" i="1"/>
  <c r="A1051" i="1"/>
  <c r="G1051" i="1"/>
  <c r="H1051" i="1"/>
  <c r="I1051" i="1"/>
  <c r="J1051" i="1"/>
  <c r="K1051" i="1"/>
  <c r="M1051" i="1"/>
  <c r="A3553" i="1"/>
  <c r="G3553" i="1"/>
  <c r="H3553" i="1"/>
  <c r="I3553" i="1"/>
  <c r="J3553" i="1"/>
  <c r="K3553" i="1"/>
  <c r="M3553" i="1"/>
  <c r="A2311" i="1"/>
  <c r="G2311" i="1"/>
  <c r="H2311" i="1"/>
  <c r="I2311" i="1"/>
  <c r="J2311" i="1"/>
  <c r="K2311" i="1"/>
  <c r="M2311" i="1"/>
  <c r="A4489" i="1"/>
  <c r="G4489" i="1"/>
  <c r="H4489" i="1"/>
  <c r="I4489" i="1"/>
  <c r="J4489" i="1"/>
  <c r="K4489" i="1"/>
  <c r="M4489" i="1"/>
  <c r="A2312" i="1"/>
  <c r="G2312" i="1"/>
  <c r="H2312" i="1"/>
  <c r="I2312" i="1"/>
  <c r="J2312" i="1"/>
  <c r="A1052" i="1"/>
  <c r="G1052" i="1"/>
  <c r="H1052" i="1"/>
  <c r="I1052" i="1"/>
  <c r="J1052" i="1"/>
  <c r="K1052" i="1"/>
  <c r="M1052" i="1"/>
  <c r="A3554" i="1"/>
  <c r="G3554" i="1"/>
  <c r="H3554" i="1"/>
  <c r="I3554" i="1"/>
  <c r="J3554" i="1"/>
  <c r="K3554" i="1"/>
  <c r="M3554" i="1"/>
  <c r="A1053" i="1"/>
  <c r="G1053" i="1"/>
  <c r="H1053" i="1"/>
  <c r="I1053" i="1"/>
  <c r="J1053" i="1"/>
  <c r="K1053" i="1"/>
  <c r="M1053" i="1"/>
  <c r="A2313" i="1"/>
  <c r="G2313" i="1"/>
  <c r="H2313" i="1"/>
  <c r="I2313" i="1"/>
  <c r="J2313" i="1"/>
  <c r="K2313" i="1"/>
  <c r="M2313" i="1"/>
  <c r="A1054" i="1"/>
  <c r="G1054" i="1"/>
  <c r="H1054" i="1"/>
  <c r="I1054" i="1"/>
  <c r="J1054" i="1"/>
  <c r="K1054" i="1"/>
  <c r="M1054" i="1"/>
  <c r="A2314" i="1"/>
  <c r="G2314" i="1"/>
  <c r="H2314" i="1"/>
  <c r="I2314" i="1"/>
  <c r="J2314" i="1"/>
  <c r="A2315" i="1"/>
  <c r="G2315" i="1"/>
  <c r="H2315" i="1"/>
  <c r="I2315" i="1"/>
  <c r="J2315" i="1"/>
  <c r="A3555" i="1"/>
  <c r="G3555" i="1"/>
  <c r="H3555" i="1"/>
  <c r="I3555" i="1"/>
  <c r="J3555" i="1"/>
  <c r="K3555" i="1"/>
  <c r="M3555" i="1"/>
  <c r="A2793" i="1"/>
  <c r="G2793" i="1"/>
  <c r="H2793" i="1"/>
  <c r="I2793" i="1"/>
  <c r="J2793" i="1"/>
  <c r="K2793" i="1"/>
  <c r="M2793" i="1"/>
  <c r="A3556" i="1"/>
  <c r="G3556" i="1"/>
  <c r="H3556" i="1"/>
  <c r="I3556" i="1"/>
  <c r="J3556" i="1"/>
  <c r="A2316" i="1"/>
  <c r="G2316" i="1"/>
  <c r="H2316" i="1"/>
  <c r="I2316" i="1"/>
  <c r="J2316" i="1"/>
  <c r="K2316" i="1"/>
  <c r="M2316" i="1"/>
  <c r="A2317" i="1"/>
  <c r="G2317" i="1"/>
  <c r="H2317" i="1"/>
  <c r="I2317" i="1"/>
  <c r="J2317" i="1"/>
  <c r="K2317" i="1"/>
  <c r="M2317" i="1"/>
  <c r="A3557" i="1"/>
  <c r="G3557" i="1"/>
  <c r="H3557" i="1"/>
  <c r="I3557" i="1"/>
  <c r="J3557" i="1"/>
  <c r="A1055" i="1"/>
  <c r="G1055" i="1"/>
  <c r="H1055" i="1"/>
  <c r="I1055" i="1"/>
  <c r="J1055" i="1"/>
  <c r="K1055" i="1"/>
  <c r="M1055" i="1"/>
  <c r="A1056" i="1"/>
  <c r="G1056" i="1"/>
  <c r="H1056" i="1"/>
  <c r="I1056" i="1"/>
  <c r="J1056" i="1"/>
  <c r="K1056" i="1"/>
  <c r="M1056" i="1"/>
  <c r="A2318" i="1"/>
  <c r="G2318" i="1"/>
  <c r="H2318" i="1"/>
  <c r="I2318" i="1"/>
  <c r="J2318" i="1"/>
  <c r="K2318" i="1"/>
  <c r="M2318" i="1"/>
  <c r="A2319" i="1"/>
  <c r="G2319" i="1"/>
  <c r="H2319" i="1"/>
  <c r="I2319" i="1"/>
  <c r="J2319" i="1"/>
  <c r="A3558" i="1"/>
  <c r="G3558" i="1"/>
  <c r="H3558" i="1"/>
  <c r="I3558" i="1"/>
  <c r="J3558" i="1"/>
  <c r="K3558" i="1"/>
  <c r="M3558" i="1"/>
  <c r="A2320" i="1"/>
  <c r="G2320" i="1"/>
  <c r="H2320" i="1"/>
  <c r="I2320" i="1"/>
  <c r="J2320" i="1"/>
  <c r="K2320" i="1"/>
  <c r="M2320" i="1"/>
  <c r="A3559" i="1"/>
  <c r="G3559" i="1"/>
  <c r="H3559" i="1"/>
  <c r="I3559" i="1"/>
  <c r="J3559" i="1"/>
  <c r="K3559" i="1"/>
  <c r="M3559" i="1"/>
  <c r="A1057" i="1"/>
  <c r="G1057" i="1"/>
  <c r="H1057" i="1"/>
  <c r="I1057" i="1"/>
  <c r="J1057" i="1"/>
  <c r="K1057" i="1"/>
  <c r="M1057" i="1"/>
  <c r="A2321" i="1"/>
  <c r="G2321" i="1"/>
  <c r="H2321" i="1"/>
  <c r="I2321" i="1"/>
  <c r="J2321" i="1"/>
  <c r="K2321" i="1"/>
  <c r="M2321" i="1"/>
  <c r="A3560" i="1"/>
  <c r="G3560" i="1"/>
  <c r="H3560" i="1"/>
  <c r="I3560" i="1"/>
  <c r="J3560" i="1"/>
  <c r="A1058" i="1"/>
  <c r="G1058" i="1"/>
  <c r="H1058" i="1"/>
  <c r="I1058" i="1"/>
  <c r="J1058" i="1"/>
  <c r="K1058" i="1"/>
  <c r="M1058" i="1"/>
  <c r="A1059" i="1"/>
  <c r="G1059" i="1"/>
  <c r="H1059" i="1"/>
  <c r="I1059" i="1"/>
  <c r="J1059" i="1"/>
  <c r="K1059" i="1"/>
  <c r="M1059" i="1"/>
  <c r="A91" i="1"/>
  <c r="G91" i="1"/>
  <c r="H91" i="1"/>
  <c r="I91" i="1"/>
  <c r="J91" i="1"/>
  <c r="K91" i="1"/>
  <c r="M91" i="1"/>
  <c r="A92" i="1"/>
  <c r="G92" i="1"/>
  <c r="H92" i="1"/>
  <c r="I92" i="1"/>
  <c r="J92" i="1"/>
  <c r="A2322" i="1"/>
  <c r="G2322" i="1"/>
  <c r="H2322" i="1"/>
  <c r="I2322" i="1"/>
  <c r="J2322" i="1"/>
  <c r="A1060" i="1"/>
  <c r="G1060" i="1"/>
  <c r="H1060" i="1"/>
  <c r="I1060" i="1"/>
  <c r="J1060" i="1"/>
  <c r="K1060" i="1"/>
  <c r="M1060" i="1"/>
  <c r="A2323" i="1"/>
  <c r="G2323" i="1"/>
  <c r="H2323" i="1"/>
  <c r="I2323" i="1"/>
  <c r="J2323" i="1"/>
  <c r="K2323" i="1"/>
  <c r="M2323" i="1"/>
  <c r="A4490" i="1"/>
  <c r="G4490" i="1"/>
  <c r="H4490" i="1"/>
  <c r="I4490" i="1"/>
  <c r="J4490" i="1"/>
  <c r="K4490" i="1"/>
  <c r="M4490" i="1"/>
  <c r="A2324" i="1"/>
  <c r="G2324" i="1"/>
  <c r="H2324" i="1"/>
  <c r="I2324" i="1"/>
  <c r="J2324" i="1"/>
  <c r="K2324" i="1"/>
  <c r="M2324" i="1"/>
  <c r="A3561" i="1"/>
  <c r="G3561" i="1"/>
  <c r="H3561" i="1"/>
  <c r="I3561" i="1"/>
  <c r="J3561" i="1"/>
  <c r="A2325" i="1"/>
  <c r="G2325" i="1"/>
  <c r="H2325" i="1"/>
  <c r="I2325" i="1"/>
  <c r="J2325" i="1"/>
  <c r="K2325" i="1"/>
  <c r="M2325" i="1"/>
  <c r="A3562" i="1"/>
  <c r="G3562" i="1"/>
  <c r="H3562" i="1"/>
  <c r="I3562" i="1"/>
  <c r="J3562" i="1"/>
  <c r="K3562" i="1"/>
  <c r="M3562" i="1"/>
  <c r="A1061" i="1"/>
  <c r="G1061" i="1"/>
  <c r="H1061" i="1"/>
  <c r="I1061" i="1"/>
  <c r="J1061" i="1"/>
  <c r="K1061" i="1"/>
  <c r="M1061" i="1"/>
  <c r="A3563" i="1"/>
  <c r="G3563" i="1"/>
  <c r="H3563" i="1"/>
  <c r="I3563" i="1"/>
  <c r="J3563" i="1"/>
  <c r="A1062" i="1"/>
  <c r="G1062" i="1"/>
  <c r="H1062" i="1"/>
  <c r="I1062" i="1"/>
  <c r="J1062" i="1"/>
  <c r="M1062" i="1"/>
  <c r="A1063" i="1"/>
  <c r="G1063" i="1"/>
  <c r="H1063" i="1"/>
  <c r="I1063" i="1"/>
  <c r="J1063" i="1"/>
  <c r="K1063" i="1"/>
  <c r="M1063" i="1"/>
  <c r="A3564" i="1"/>
  <c r="G3564" i="1"/>
  <c r="H3564" i="1"/>
  <c r="I3564" i="1"/>
  <c r="J3564" i="1"/>
  <c r="K3564" i="1"/>
  <c r="M3564" i="1"/>
  <c r="A4613" i="1"/>
  <c r="G4613" i="1"/>
  <c r="H4613" i="1"/>
  <c r="I4613" i="1"/>
  <c r="J4613" i="1"/>
  <c r="A1064" i="1"/>
  <c r="G1064" i="1"/>
  <c r="H1064" i="1"/>
  <c r="I1064" i="1"/>
  <c r="J1064" i="1"/>
  <c r="K1064" i="1"/>
  <c r="M1064" i="1"/>
  <c r="A3565" i="1"/>
  <c r="G3565" i="1"/>
  <c r="H3565" i="1"/>
  <c r="I3565" i="1"/>
  <c r="J3565" i="1"/>
  <c r="K3565" i="1"/>
  <c r="M3565" i="1"/>
  <c r="A3566" i="1"/>
  <c r="G3566" i="1"/>
  <c r="H3566" i="1"/>
  <c r="I3566" i="1"/>
  <c r="J3566" i="1"/>
  <c r="K3566" i="1"/>
  <c r="M3566" i="1"/>
  <c r="A3567" i="1"/>
  <c r="G3567" i="1"/>
  <c r="H3567" i="1"/>
  <c r="I3567" i="1"/>
  <c r="J3567" i="1"/>
  <c r="K3567" i="1"/>
  <c r="M3567" i="1"/>
  <c r="A2326" i="1"/>
  <c r="G2326" i="1"/>
  <c r="H2326" i="1"/>
  <c r="I2326" i="1"/>
  <c r="J2326" i="1"/>
  <c r="A2794" i="1"/>
  <c r="G2794" i="1"/>
  <c r="H2794" i="1"/>
  <c r="I2794" i="1"/>
  <c r="J2794" i="1"/>
  <c r="K2794" i="1"/>
  <c r="M2794" i="1"/>
  <c r="A1065" i="1"/>
  <c r="G1065" i="1"/>
  <c r="H1065" i="1"/>
  <c r="I1065" i="1"/>
  <c r="J1065" i="1"/>
  <c r="K1065" i="1"/>
  <c r="M1065" i="1"/>
  <c r="A1066" i="1"/>
  <c r="G1066" i="1"/>
  <c r="H1066" i="1"/>
  <c r="I1066" i="1"/>
  <c r="J1066" i="1"/>
  <c r="K1066" i="1"/>
  <c r="M1066" i="1"/>
  <c r="A1067" i="1"/>
  <c r="G1067" i="1"/>
  <c r="H1067" i="1"/>
  <c r="I1067" i="1"/>
  <c r="J1067" i="1"/>
  <c r="K1067" i="1"/>
  <c r="M1067" i="1"/>
  <c r="A1068" i="1"/>
  <c r="G1068" i="1"/>
  <c r="H1068" i="1"/>
  <c r="I1068" i="1"/>
  <c r="J1068" i="1"/>
  <c r="K1068" i="1"/>
  <c r="M1068" i="1"/>
  <c r="A1069" i="1"/>
  <c r="G1069" i="1"/>
  <c r="H1069" i="1"/>
  <c r="I1069" i="1"/>
  <c r="J1069" i="1"/>
  <c r="K1069" i="1"/>
  <c r="M1069" i="1"/>
  <c r="A1070" i="1"/>
  <c r="G1070" i="1"/>
  <c r="H1070" i="1"/>
  <c r="I1070" i="1"/>
  <c r="J1070" i="1"/>
  <c r="K1070" i="1"/>
  <c r="M1070" i="1"/>
  <c r="A3568" i="1"/>
  <c r="G3568" i="1"/>
  <c r="H3568" i="1"/>
  <c r="I3568" i="1"/>
  <c r="J3568" i="1"/>
  <c r="A3569" i="1"/>
  <c r="G3569" i="1"/>
  <c r="H3569" i="1"/>
  <c r="I3569" i="1"/>
  <c r="J3569" i="1"/>
  <c r="A3570" i="1"/>
  <c r="G3570" i="1"/>
  <c r="H3570" i="1"/>
  <c r="I3570" i="1"/>
  <c r="J3570" i="1"/>
  <c r="A1071" i="1"/>
  <c r="G1071" i="1"/>
  <c r="H1071" i="1"/>
  <c r="I1071" i="1"/>
  <c r="J1071" i="1"/>
  <c r="K1071" i="1"/>
  <c r="L1071" i="1"/>
  <c r="M1071" i="1"/>
  <c r="A93" i="1"/>
  <c r="G93" i="1"/>
  <c r="H93" i="1"/>
  <c r="I93" i="1"/>
  <c r="J93" i="1"/>
  <c r="K93" i="1"/>
  <c r="M93" i="1"/>
  <c r="A2327" i="1"/>
  <c r="G2327" i="1"/>
  <c r="H2327" i="1"/>
  <c r="I2327" i="1"/>
  <c r="J2327" i="1"/>
  <c r="K2327" i="1"/>
  <c r="M2327" i="1"/>
  <c r="A1072" i="1"/>
  <c r="G1072" i="1"/>
  <c r="H1072" i="1"/>
  <c r="I1072" i="1"/>
  <c r="J1072" i="1"/>
  <c r="K1072" i="1"/>
  <c r="M1072" i="1"/>
  <c r="A1073" i="1"/>
  <c r="G1073" i="1"/>
  <c r="H1073" i="1"/>
  <c r="I1073" i="1"/>
  <c r="J1073" i="1"/>
  <c r="K1073" i="1"/>
  <c r="M1073" i="1"/>
  <c r="A4491" i="1"/>
  <c r="G4491" i="1"/>
  <c r="H4491" i="1"/>
  <c r="I4491" i="1"/>
  <c r="J4491" i="1"/>
  <c r="M4491" i="1"/>
  <c r="A3571" i="1"/>
  <c r="G3571" i="1"/>
  <c r="H3571" i="1"/>
  <c r="I3571" i="1"/>
  <c r="J3571" i="1"/>
  <c r="K3571" i="1"/>
  <c r="M3571" i="1"/>
  <c r="A1074" i="1"/>
  <c r="G1074" i="1"/>
  <c r="H1074" i="1"/>
  <c r="I1074" i="1"/>
  <c r="J1074" i="1"/>
  <c r="K1074" i="1"/>
  <c r="M1074" i="1"/>
  <c r="A1075" i="1"/>
  <c r="G1075" i="1"/>
  <c r="H1075" i="1"/>
  <c r="I1075" i="1"/>
  <c r="J1075" i="1"/>
  <c r="L1075" i="1"/>
  <c r="M1075" i="1"/>
  <c r="A3572" i="1"/>
  <c r="G3572" i="1"/>
  <c r="H3572" i="1"/>
  <c r="I3572" i="1"/>
  <c r="J3572" i="1"/>
  <c r="K3572" i="1"/>
  <c r="M3572" i="1"/>
  <c r="A2328" i="1"/>
  <c r="G2328" i="1"/>
  <c r="H2328" i="1"/>
  <c r="I2328" i="1"/>
  <c r="J2328" i="1"/>
  <c r="A4246" i="1"/>
  <c r="G4246" i="1"/>
  <c r="H4246" i="1"/>
  <c r="I4246" i="1"/>
  <c r="J4246" i="1"/>
  <c r="K4246" i="1"/>
  <c r="M4246" i="1"/>
  <c r="A2329" i="1"/>
  <c r="G2329" i="1"/>
  <c r="H2329" i="1"/>
  <c r="I2329" i="1"/>
  <c r="J2329" i="1"/>
  <c r="K2329" i="1"/>
  <c r="M2329" i="1"/>
  <c r="A2330" i="1"/>
  <c r="G2330" i="1"/>
  <c r="H2330" i="1"/>
  <c r="I2330" i="1"/>
  <c r="J2330" i="1"/>
  <c r="K2330" i="1"/>
  <c r="M2330" i="1"/>
  <c r="A2331" i="1"/>
  <c r="G2331" i="1"/>
  <c r="H2331" i="1"/>
  <c r="I2331" i="1"/>
  <c r="J2331" i="1"/>
  <c r="K2331" i="1"/>
  <c r="M2331" i="1"/>
  <c r="A4492" i="1"/>
  <c r="G4492" i="1"/>
  <c r="H4492" i="1"/>
  <c r="I4492" i="1"/>
  <c r="J4492" i="1"/>
  <c r="K4492" i="1"/>
  <c r="M4492" i="1"/>
  <c r="A3573" i="1"/>
  <c r="G3573" i="1"/>
  <c r="H3573" i="1"/>
  <c r="I3573" i="1"/>
  <c r="J3573" i="1"/>
  <c r="K3573" i="1"/>
  <c r="M3573" i="1"/>
  <c r="A1076" i="1"/>
  <c r="G1076" i="1"/>
  <c r="H1076" i="1"/>
  <c r="I1076" i="1"/>
  <c r="J1076" i="1"/>
  <c r="K1076" i="1"/>
  <c r="M1076" i="1"/>
  <c r="A1077" i="1"/>
  <c r="G1077" i="1"/>
  <c r="H1077" i="1"/>
  <c r="I1077" i="1"/>
  <c r="J1077" i="1"/>
  <c r="M1077" i="1"/>
  <c r="A2868" i="1"/>
  <c r="G2868" i="1"/>
  <c r="H2868" i="1"/>
  <c r="I2868" i="1"/>
  <c r="J2868" i="1"/>
  <c r="K2868" i="1"/>
  <c r="M2868" i="1"/>
  <c r="A4716" i="1"/>
  <c r="G4716" i="1"/>
  <c r="H4716" i="1"/>
  <c r="I4716" i="1"/>
  <c r="J4716" i="1"/>
  <c r="M4716" i="1"/>
  <c r="A4493" i="1"/>
  <c r="G4493" i="1"/>
  <c r="H4493" i="1"/>
  <c r="I4493" i="1"/>
  <c r="J4493" i="1"/>
  <c r="K4493" i="1"/>
  <c r="M4493" i="1"/>
  <c r="A94" i="1"/>
  <c r="G94" i="1"/>
  <c r="H94" i="1"/>
  <c r="I94" i="1"/>
  <c r="J94" i="1"/>
  <c r="A1078" i="1"/>
  <c r="G1078" i="1"/>
  <c r="H1078" i="1"/>
  <c r="I1078" i="1"/>
  <c r="J1078" i="1"/>
  <c r="M1078" i="1"/>
  <c r="A2332" i="1"/>
  <c r="G2332" i="1"/>
  <c r="H2332" i="1"/>
  <c r="I2332" i="1"/>
  <c r="J2332" i="1"/>
  <c r="K2332" i="1"/>
  <c r="M2332" i="1"/>
  <c r="A3574" i="1"/>
  <c r="G3574" i="1"/>
  <c r="H3574" i="1"/>
  <c r="I3574" i="1"/>
  <c r="J3574" i="1"/>
  <c r="K3574" i="1"/>
  <c r="M3574" i="1"/>
  <c r="A1079" i="1"/>
  <c r="G1079" i="1"/>
  <c r="H1079" i="1"/>
  <c r="I1079" i="1"/>
  <c r="J1079" i="1"/>
  <c r="K1079" i="1"/>
  <c r="M1079" i="1"/>
  <c r="A4717" i="1"/>
  <c r="G4717" i="1"/>
  <c r="H4717" i="1"/>
  <c r="I4717" i="1"/>
  <c r="J4717" i="1"/>
  <c r="M4717" i="1"/>
  <c r="A3575" i="1"/>
  <c r="G3575" i="1"/>
  <c r="H3575" i="1"/>
  <c r="I3575" i="1"/>
  <c r="J3575" i="1"/>
  <c r="A4718" i="1"/>
  <c r="G4718" i="1"/>
  <c r="H4718" i="1"/>
  <c r="I4718" i="1"/>
  <c r="J4718" i="1"/>
  <c r="M4718" i="1"/>
  <c r="A4719" i="1"/>
  <c r="G4719" i="1"/>
  <c r="H4719" i="1"/>
  <c r="I4719" i="1"/>
  <c r="J4719" i="1"/>
  <c r="M4719" i="1"/>
  <c r="A2333" i="1"/>
  <c r="G2333" i="1"/>
  <c r="H2333" i="1"/>
  <c r="I2333" i="1"/>
  <c r="J2333" i="1"/>
  <c r="K2333" i="1"/>
  <c r="M2333" i="1"/>
  <c r="A4720" i="1"/>
  <c r="G4720" i="1"/>
  <c r="H4720" i="1"/>
  <c r="I4720" i="1"/>
  <c r="J4720" i="1"/>
  <c r="M4720" i="1"/>
  <c r="A3576" i="1"/>
  <c r="G3576" i="1"/>
  <c r="H3576" i="1"/>
  <c r="I3576" i="1"/>
  <c r="J3576" i="1"/>
  <c r="K3576" i="1"/>
  <c r="M3576" i="1"/>
  <c r="A4494" i="1"/>
  <c r="G4494" i="1"/>
  <c r="H4494" i="1"/>
  <c r="I4494" i="1"/>
  <c r="J4494" i="1"/>
  <c r="K4494" i="1"/>
  <c r="M4494" i="1"/>
  <c r="A1080" i="1"/>
  <c r="G1080" i="1"/>
  <c r="H1080" i="1"/>
  <c r="I1080" i="1"/>
  <c r="J1080" i="1"/>
  <c r="K1080" i="1"/>
  <c r="M1080" i="1"/>
  <c r="A3577" i="1"/>
  <c r="G3577" i="1"/>
  <c r="H3577" i="1"/>
  <c r="I3577" i="1"/>
  <c r="J3577" i="1"/>
  <c r="A3578" i="1"/>
  <c r="G3578" i="1"/>
  <c r="H3578" i="1"/>
  <c r="I3578" i="1"/>
  <c r="J3578" i="1"/>
  <c r="K3578" i="1"/>
  <c r="M3578" i="1"/>
  <c r="A3579" i="1"/>
  <c r="G3579" i="1"/>
  <c r="H3579" i="1"/>
  <c r="I3579" i="1"/>
  <c r="J3579" i="1"/>
  <c r="A1081" i="1"/>
  <c r="G1081" i="1"/>
  <c r="H1081" i="1"/>
  <c r="I1081" i="1"/>
  <c r="J1081" i="1"/>
  <c r="K1081" i="1"/>
  <c r="M1081" i="1"/>
  <c r="A4721" i="1"/>
  <c r="G4721" i="1"/>
  <c r="H4721" i="1"/>
  <c r="I4721" i="1"/>
  <c r="J4721" i="1"/>
  <c r="M4721" i="1"/>
  <c r="A4722" i="1"/>
  <c r="G4722" i="1"/>
  <c r="H4722" i="1"/>
  <c r="I4722" i="1"/>
  <c r="J4722" i="1"/>
  <c r="M4722" i="1"/>
  <c r="A4791" i="1"/>
  <c r="G4791" i="1"/>
  <c r="H4791" i="1"/>
  <c r="I4791" i="1"/>
  <c r="J4791" i="1"/>
  <c r="K4791" i="1"/>
  <c r="M4791" i="1"/>
  <c r="A3580" i="1"/>
  <c r="G3580" i="1"/>
  <c r="H3580" i="1"/>
  <c r="I3580" i="1"/>
  <c r="J3580" i="1"/>
  <c r="K3580" i="1"/>
  <c r="M3580" i="1"/>
  <c r="A2334" i="1"/>
  <c r="G2334" i="1"/>
  <c r="H2334" i="1"/>
  <c r="I2334" i="1"/>
  <c r="J2334" i="1"/>
  <c r="M2334" i="1"/>
  <c r="A1082" i="1"/>
  <c r="G1082" i="1"/>
  <c r="H1082" i="1"/>
  <c r="I1082" i="1"/>
  <c r="J1082" i="1"/>
  <c r="K1082" i="1"/>
  <c r="M1082" i="1"/>
  <c r="A3581" i="1"/>
  <c r="G3581" i="1"/>
  <c r="H3581" i="1"/>
  <c r="I3581" i="1"/>
  <c r="J3581" i="1"/>
  <c r="K3581" i="1"/>
  <c r="M3581" i="1"/>
  <c r="A4495" i="1"/>
  <c r="G4495" i="1"/>
  <c r="H4495" i="1"/>
  <c r="I4495" i="1"/>
  <c r="J4495" i="1"/>
  <c r="K4495" i="1"/>
  <c r="M4495" i="1"/>
  <c r="A3582" i="1"/>
  <c r="G3582" i="1"/>
  <c r="H3582" i="1"/>
  <c r="I3582" i="1"/>
  <c r="J3582" i="1"/>
  <c r="K3582" i="1"/>
  <c r="M3582" i="1"/>
  <c r="A4496" i="1"/>
  <c r="G4496" i="1"/>
  <c r="H4496" i="1"/>
  <c r="I4496" i="1"/>
  <c r="J4496" i="1"/>
  <c r="K4496" i="1"/>
  <c r="M4496" i="1"/>
  <c r="A1083" i="1"/>
  <c r="G1083" i="1"/>
  <c r="H1083" i="1"/>
  <c r="I1083" i="1"/>
  <c r="J1083" i="1"/>
  <c r="M1083" i="1"/>
  <c r="A1084" i="1"/>
  <c r="G1084" i="1"/>
  <c r="H1084" i="1"/>
  <c r="I1084" i="1"/>
  <c r="J1084" i="1"/>
  <c r="K1084" i="1"/>
  <c r="M1084" i="1"/>
  <c r="A3583" i="1"/>
  <c r="G3583" i="1"/>
  <c r="H3583" i="1"/>
  <c r="I3583" i="1"/>
  <c r="J3583" i="1"/>
  <c r="K3583" i="1"/>
  <c r="M3583" i="1"/>
  <c r="A1085" i="1"/>
  <c r="G1085" i="1"/>
  <c r="H1085" i="1"/>
  <c r="I1085" i="1"/>
  <c r="J1085" i="1"/>
  <c r="L1085" i="1"/>
  <c r="M1085" i="1"/>
  <c r="A2335" i="1"/>
  <c r="G2335" i="1"/>
  <c r="H2335" i="1"/>
  <c r="I2335" i="1"/>
  <c r="J2335" i="1"/>
  <c r="M2335" i="1"/>
  <c r="A1086" i="1"/>
  <c r="G1086" i="1"/>
  <c r="H1086" i="1"/>
  <c r="I1086" i="1"/>
  <c r="J1086" i="1"/>
  <c r="K1086" i="1"/>
  <c r="L1086" i="1"/>
  <c r="M1086" i="1"/>
  <c r="A1087" i="1"/>
  <c r="G1087" i="1"/>
  <c r="H1087" i="1"/>
  <c r="I1087" i="1"/>
  <c r="J1087" i="1"/>
  <c r="K1087" i="1"/>
  <c r="M1087" i="1"/>
  <c r="A4497" i="1"/>
  <c r="G4497" i="1"/>
  <c r="H4497" i="1"/>
  <c r="I4497" i="1"/>
  <c r="J4497" i="1"/>
  <c r="M4497" i="1"/>
  <c r="A2336" i="1"/>
  <c r="G2336" i="1"/>
  <c r="H2336" i="1"/>
  <c r="I2336" i="1"/>
  <c r="J2336" i="1"/>
  <c r="K2336" i="1"/>
  <c r="M2336" i="1"/>
  <c r="A4166" i="1"/>
  <c r="G4166" i="1"/>
  <c r="H4166" i="1"/>
  <c r="I4166" i="1"/>
  <c r="J4166" i="1"/>
  <c r="K4166" i="1"/>
  <c r="M4166" i="1"/>
  <c r="A4723" i="1"/>
  <c r="G4723" i="1"/>
  <c r="H4723" i="1"/>
  <c r="I4723" i="1"/>
  <c r="J4723" i="1"/>
  <c r="M4723" i="1"/>
  <c r="A3584" i="1"/>
  <c r="G3584" i="1"/>
  <c r="H3584" i="1"/>
  <c r="I3584" i="1"/>
  <c r="J3584" i="1"/>
  <c r="K3584" i="1"/>
  <c r="M3584" i="1"/>
  <c r="A1088" i="1"/>
  <c r="G1088" i="1"/>
  <c r="H1088" i="1"/>
  <c r="I1088" i="1"/>
  <c r="J1088" i="1"/>
  <c r="M1088" i="1"/>
  <c r="A1089" i="1"/>
  <c r="G1089" i="1"/>
  <c r="H1089" i="1"/>
  <c r="I1089" i="1"/>
  <c r="J1089" i="1"/>
  <c r="K1089" i="1"/>
  <c r="M1089" i="1"/>
  <c r="A1090" i="1"/>
  <c r="G1090" i="1"/>
  <c r="H1090" i="1"/>
  <c r="I1090" i="1"/>
  <c r="J1090" i="1"/>
  <c r="K1090" i="1"/>
  <c r="M1090" i="1"/>
  <c r="A3585" i="1"/>
  <c r="G3585" i="1"/>
  <c r="H3585" i="1"/>
  <c r="I3585" i="1"/>
  <c r="J3585" i="1"/>
  <c r="K3585" i="1"/>
  <c r="M3585" i="1"/>
  <c r="A3586" i="1"/>
  <c r="G3586" i="1"/>
  <c r="H3586" i="1"/>
  <c r="I3586" i="1"/>
  <c r="J3586" i="1"/>
  <c r="K3586" i="1"/>
  <c r="M3586" i="1"/>
  <c r="A2337" i="1"/>
  <c r="G2337" i="1"/>
  <c r="H2337" i="1"/>
  <c r="I2337" i="1"/>
  <c r="J2337" i="1"/>
  <c r="A3587" i="1"/>
  <c r="G3587" i="1"/>
  <c r="H3587" i="1"/>
  <c r="I3587" i="1"/>
  <c r="J3587" i="1"/>
  <c r="A2338" i="1"/>
  <c r="G2338" i="1"/>
  <c r="H2338" i="1"/>
  <c r="I2338" i="1"/>
  <c r="J2338" i="1"/>
  <c r="K2338" i="1"/>
  <c r="M2338" i="1"/>
  <c r="A1091" i="1"/>
  <c r="G1091" i="1"/>
  <c r="H1091" i="1"/>
  <c r="I1091" i="1"/>
  <c r="J1091" i="1"/>
  <c r="K1091" i="1"/>
  <c r="M1091" i="1"/>
  <c r="A2339" i="1"/>
  <c r="G2339" i="1"/>
  <c r="H2339" i="1"/>
  <c r="I2339" i="1"/>
  <c r="J2339" i="1"/>
  <c r="K2339" i="1"/>
  <c r="M2339" i="1"/>
  <c r="A1092" i="1"/>
  <c r="G1092" i="1"/>
  <c r="H1092" i="1"/>
  <c r="I1092" i="1"/>
  <c r="J1092" i="1"/>
  <c r="K1092" i="1"/>
  <c r="M1092" i="1"/>
  <c r="A3588" i="1"/>
  <c r="G3588" i="1"/>
  <c r="H3588" i="1"/>
  <c r="I3588" i="1"/>
  <c r="J3588" i="1"/>
  <c r="K3588" i="1"/>
  <c r="M3588" i="1"/>
  <c r="A3589" i="1"/>
  <c r="G3589" i="1"/>
  <c r="H3589" i="1"/>
  <c r="I3589" i="1"/>
  <c r="J3589" i="1"/>
  <c r="K3589" i="1"/>
  <c r="M3589" i="1"/>
  <c r="A3590" i="1"/>
  <c r="G3590" i="1"/>
  <c r="H3590" i="1"/>
  <c r="I3590" i="1"/>
  <c r="J3590" i="1"/>
  <c r="K3590" i="1"/>
  <c r="M3590" i="1"/>
  <c r="A3591" i="1"/>
  <c r="G3591" i="1"/>
  <c r="H3591" i="1"/>
  <c r="I3591" i="1"/>
  <c r="J3591" i="1"/>
  <c r="A1093" i="1"/>
  <c r="G1093" i="1"/>
  <c r="H1093" i="1"/>
  <c r="I1093" i="1"/>
  <c r="J1093" i="1"/>
  <c r="K1093" i="1"/>
  <c r="M1093" i="1"/>
  <c r="A1094" i="1"/>
  <c r="G1094" i="1"/>
  <c r="H1094" i="1"/>
  <c r="I1094" i="1"/>
  <c r="J1094" i="1"/>
  <c r="K1094" i="1"/>
  <c r="M1094" i="1"/>
  <c r="A1095" i="1"/>
  <c r="G1095" i="1"/>
  <c r="H1095" i="1"/>
  <c r="I1095" i="1"/>
  <c r="J1095" i="1"/>
  <c r="K1095" i="1"/>
  <c r="M1095" i="1"/>
  <c r="A1096" i="1"/>
  <c r="G1096" i="1"/>
  <c r="H1096" i="1"/>
  <c r="I1096" i="1"/>
  <c r="J1096" i="1"/>
  <c r="K1096" i="1"/>
  <c r="M1096" i="1"/>
  <c r="A2340" i="1"/>
  <c r="G2340" i="1"/>
  <c r="H2340" i="1"/>
  <c r="I2340" i="1"/>
  <c r="J2340" i="1"/>
  <c r="A3592" i="1"/>
  <c r="G3592" i="1"/>
  <c r="H3592" i="1"/>
  <c r="I3592" i="1"/>
  <c r="J3592" i="1"/>
  <c r="A2341" i="1"/>
  <c r="G2341" i="1"/>
  <c r="H2341" i="1"/>
  <c r="I2341" i="1"/>
  <c r="J2341" i="1"/>
  <c r="K2341" i="1"/>
  <c r="M2341" i="1"/>
  <c r="A1097" i="1"/>
  <c r="G1097" i="1"/>
  <c r="H1097" i="1"/>
  <c r="I1097" i="1"/>
  <c r="J1097" i="1"/>
  <c r="K1097" i="1"/>
  <c r="M1097" i="1"/>
  <c r="A1098" i="1"/>
  <c r="G1098" i="1"/>
  <c r="H1098" i="1"/>
  <c r="I1098" i="1"/>
  <c r="J1098" i="1"/>
  <c r="K1098" i="1"/>
  <c r="M1098" i="1"/>
  <c r="A2795" i="1"/>
  <c r="G2795" i="1"/>
  <c r="H2795" i="1"/>
  <c r="I2795" i="1"/>
  <c r="J2795" i="1"/>
  <c r="K2795" i="1"/>
  <c r="M2795" i="1"/>
  <c r="A3593" i="1"/>
  <c r="G3593" i="1"/>
  <c r="H3593" i="1"/>
  <c r="I3593" i="1"/>
  <c r="J3593" i="1"/>
  <c r="K3593" i="1"/>
  <c r="M3593" i="1"/>
  <c r="A1099" i="1"/>
  <c r="G1099" i="1"/>
  <c r="H1099" i="1"/>
  <c r="I1099" i="1"/>
  <c r="J1099" i="1"/>
  <c r="K1099" i="1"/>
  <c r="M1099" i="1"/>
  <c r="A1100" i="1"/>
  <c r="G1100" i="1"/>
  <c r="H1100" i="1"/>
  <c r="I1100" i="1"/>
  <c r="J1100" i="1"/>
  <c r="K1100" i="1"/>
  <c r="M1100" i="1"/>
  <c r="A1101" i="1"/>
  <c r="G1101" i="1"/>
  <c r="H1101" i="1"/>
  <c r="I1101" i="1"/>
  <c r="J1101" i="1"/>
  <c r="K1101" i="1"/>
  <c r="M1101" i="1"/>
  <c r="A3594" i="1"/>
  <c r="G3594" i="1"/>
  <c r="H3594" i="1"/>
  <c r="I3594" i="1"/>
  <c r="J3594" i="1"/>
  <c r="A3595" i="1"/>
  <c r="G3595" i="1"/>
  <c r="H3595" i="1"/>
  <c r="I3595" i="1"/>
  <c r="J3595" i="1"/>
  <c r="K3595" i="1"/>
  <c r="M3595" i="1"/>
  <c r="A2869" i="1"/>
  <c r="G2869" i="1"/>
  <c r="H2869" i="1"/>
  <c r="I2869" i="1"/>
  <c r="J2869" i="1"/>
  <c r="K2869" i="1"/>
  <c r="M2869" i="1"/>
  <c r="A1102" i="1"/>
  <c r="G1102" i="1"/>
  <c r="H1102" i="1"/>
  <c r="I1102" i="1"/>
  <c r="J1102" i="1"/>
  <c r="M1102" i="1"/>
  <c r="A4498" i="1"/>
  <c r="G4498" i="1"/>
  <c r="H4498" i="1"/>
  <c r="I4498" i="1"/>
  <c r="J4498" i="1"/>
  <c r="K4498" i="1"/>
  <c r="M4498" i="1"/>
  <c r="A1103" i="1"/>
  <c r="G1103" i="1"/>
  <c r="H1103" i="1"/>
  <c r="I1103" i="1"/>
  <c r="J1103" i="1"/>
  <c r="K1103" i="1"/>
  <c r="M1103" i="1"/>
  <c r="A3596" i="1"/>
  <c r="G3596" i="1"/>
  <c r="H3596" i="1"/>
  <c r="I3596" i="1"/>
  <c r="J3596" i="1"/>
  <c r="K3596" i="1"/>
  <c r="M3596" i="1"/>
  <c r="A2870" i="1"/>
  <c r="G2870" i="1"/>
  <c r="H2870" i="1"/>
  <c r="I2870" i="1"/>
  <c r="J2870" i="1"/>
  <c r="K2870" i="1"/>
  <c r="M2870" i="1"/>
  <c r="A3597" i="1"/>
  <c r="G3597" i="1"/>
  <c r="H3597" i="1"/>
  <c r="I3597" i="1"/>
  <c r="J3597" i="1"/>
  <c r="K3597" i="1"/>
  <c r="M3597" i="1"/>
  <c r="A2342" i="1"/>
  <c r="G2342" i="1"/>
  <c r="H2342" i="1"/>
  <c r="I2342" i="1"/>
  <c r="J2342" i="1"/>
  <c r="K2342" i="1"/>
  <c r="M2342" i="1"/>
  <c r="A1104" i="1"/>
  <c r="G1104" i="1"/>
  <c r="H1104" i="1"/>
  <c r="I1104" i="1"/>
  <c r="J1104" i="1"/>
  <c r="K1104" i="1"/>
  <c r="M1104" i="1"/>
  <c r="A2343" i="1"/>
  <c r="G2343" i="1"/>
  <c r="H2343" i="1"/>
  <c r="I2343" i="1"/>
  <c r="J2343" i="1"/>
  <c r="A1105" i="1"/>
  <c r="G1105" i="1"/>
  <c r="H1105" i="1"/>
  <c r="I1105" i="1"/>
  <c r="J1105" i="1"/>
  <c r="K1105" i="1"/>
  <c r="M1105" i="1"/>
  <c r="A3598" i="1"/>
  <c r="G3598" i="1"/>
  <c r="H3598" i="1"/>
  <c r="I3598" i="1"/>
  <c r="J3598" i="1"/>
  <c r="K3598" i="1"/>
  <c r="M3598" i="1"/>
  <c r="A1106" i="1"/>
  <c r="G1106" i="1"/>
  <c r="H1106" i="1"/>
  <c r="I1106" i="1"/>
  <c r="J1106" i="1"/>
  <c r="M1106" i="1"/>
  <c r="A4306" i="1"/>
  <c r="G4306" i="1"/>
  <c r="H4306" i="1"/>
  <c r="I4306" i="1"/>
  <c r="J4306" i="1"/>
  <c r="K4306" i="1"/>
  <c r="M4306" i="1"/>
  <c r="A3599" i="1"/>
  <c r="G3599" i="1"/>
  <c r="H3599" i="1"/>
  <c r="I3599" i="1"/>
  <c r="J3599" i="1"/>
  <c r="K3599" i="1"/>
  <c r="M3599" i="1"/>
  <c r="A2796" i="1"/>
  <c r="G2796" i="1"/>
  <c r="H2796" i="1"/>
  <c r="I2796" i="1"/>
  <c r="J2796" i="1"/>
  <c r="K2796" i="1"/>
  <c r="M2796" i="1"/>
  <c r="A4724" i="1"/>
  <c r="G4724" i="1"/>
  <c r="H4724" i="1"/>
  <c r="I4724" i="1"/>
  <c r="J4724" i="1"/>
  <c r="M4724" i="1"/>
  <c r="A1107" i="1"/>
  <c r="G1107" i="1"/>
  <c r="H1107" i="1"/>
  <c r="I1107" i="1"/>
  <c r="J1107" i="1"/>
  <c r="K1107" i="1"/>
  <c r="M1107" i="1"/>
  <c r="A3600" i="1"/>
  <c r="G3600" i="1"/>
  <c r="H3600" i="1"/>
  <c r="I3600" i="1"/>
  <c r="J3600" i="1"/>
  <c r="K3600" i="1"/>
  <c r="M3600" i="1"/>
  <c r="A2344" i="1"/>
  <c r="G2344" i="1"/>
  <c r="H2344" i="1"/>
  <c r="I2344" i="1"/>
  <c r="J2344" i="1"/>
  <c r="A4792" i="1"/>
  <c r="G4792" i="1"/>
  <c r="H4792" i="1"/>
  <c r="I4792" i="1"/>
  <c r="J4792" i="1"/>
  <c r="K4792" i="1"/>
  <c r="M4792" i="1"/>
  <c r="A1108" i="1"/>
  <c r="G1108" i="1"/>
  <c r="H1108" i="1"/>
  <c r="I1108" i="1"/>
  <c r="J1108" i="1"/>
  <c r="K1108" i="1"/>
  <c r="M1108" i="1"/>
  <c r="A3601" i="1"/>
  <c r="G3601" i="1"/>
  <c r="H3601" i="1"/>
  <c r="I3601" i="1"/>
  <c r="J3601" i="1"/>
  <c r="A2345" i="1"/>
  <c r="G2345" i="1"/>
  <c r="H2345" i="1"/>
  <c r="I2345" i="1"/>
  <c r="J2345" i="1"/>
  <c r="A2871" i="1"/>
  <c r="G2871" i="1"/>
  <c r="H2871" i="1"/>
  <c r="I2871" i="1"/>
  <c r="J2871" i="1"/>
  <c r="K2871" i="1"/>
  <c r="M2871" i="1"/>
  <c r="A3602" i="1"/>
  <c r="G3602" i="1"/>
  <c r="H3602" i="1"/>
  <c r="I3602" i="1"/>
  <c r="J3602" i="1"/>
  <c r="K3602" i="1"/>
  <c r="M3602" i="1"/>
  <c r="A3603" i="1"/>
  <c r="G3603" i="1"/>
  <c r="H3603" i="1"/>
  <c r="I3603" i="1"/>
  <c r="J3603" i="1"/>
  <c r="K3603" i="1"/>
  <c r="M3603" i="1"/>
  <c r="A4725" i="1"/>
  <c r="G4725" i="1"/>
  <c r="H4725" i="1"/>
  <c r="I4725" i="1"/>
  <c r="J4725" i="1"/>
  <c r="M4725" i="1"/>
  <c r="A2346" i="1"/>
  <c r="G2346" i="1"/>
  <c r="H2346" i="1"/>
  <c r="I2346" i="1"/>
  <c r="J2346" i="1"/>
  <c r="K2346" i="1"/>
  <c r="M2346" i="1"/>
  <c r="A4167" i="1"/>
  <c r="G4167" i="1"/>
  <c r="H4167" i="1"/>
  <c r="I4167" i="1"/>
  <c r="J4167" i="1"/>
  <c r="K4167" i="1"/>
  <c r="M4167" i="1"/>
  <c r="A95" i="1"/>
  <c r="G95" i="1"/>
  <c r="H95" i="1"/>
  <c r="I95" i="1"/>
  <c r="J95" i="1"/>
  <c r="K95" i="1"/>
  <c r="M95" i="1"/>
  <c r="A4614" i="1"/>
  <c r="G4614" i="1"/>
  <c r="H4614" i="1"/>
  <c r="I4614" i="1"/>
  <c r="J4614" i="1"/>
  <c r="M4614" i="1"/>
  <c r="A1109" i="1"/>
  <c r="G1109" i="1"/>
  <c r="H1109" i="1"/>
  <c r="I1109" i="1"/>
  <c r="J1109" i="1"/>
  <c r="K1109" i="1"/>
  <c r="M1109" i="1"/>
  <c r="A1110" i="1"/>
  <c r="G1110" i="1"/>
  <c r="H1110" i="1"/>
  <c r="I1110" i="1"/>
  <c r="J1110" i="1"/>
  <c r="M1110" i="1"/>
  <c r="A96" i="1"/>
  <c r="G96" i="1"/>
  <c r="H96" i="1"/>
  <c r="I96" i="1"/>
  <c r="J96" i="1"/>
  <c r="K96" i="1"/>
  <c r="M96" i="1"/>
  <c r="A1111" i="1"/>
  <c r="G1111" i="1"/>
  <c r="H1111" i="1"/>
  <c r="I1111" i="1"/>
  <c r="J1111" i="1"/>
  <c r="K1111" i="1"/>
  <c r="M1111" i="1"/>
  <c r="A3604" i="1"/>
  <c r="G3604" i="1"/>
  <c r="H3604" i="1"/>
  <c r="I3604" i="1"/>
  <c r="J3604" i="1"/>
  <c r="K3604" i="1"/>
  <c r="M3604" i="1"/>
  <c r="A3605" i="1"/>
  <c r="G3605" i="1"/>
  <c r="H3605" i="1"/>
  <c r="I3605" i="1"/>
  <c r="J3605" i="1"/>
  <c r="K3605" i="1"/>
  <c r="M3605" i="1"/>
  <c r="A1112" i="1"/>
  <c r="G1112" i="1"/>
  <c r="H1112" i="1"/>
  <c r="I1112" i="1"/>
  <c r="J1112" i="1"/>
  <c r="K1112" i="1"/>
  <c r="M1112" i="1"/>
  <c r="A4726" i="1"/>
  <c r="G4726" i="1"/>
  <c r="H4726" i="1"/>
  <c r="I4726" i="1"/>
  <c r="J4726" i="1"/>
  <c r="M4726" i="1"/>
  <c r="A97" i="1"/>
  <c r="G97" i="1"/>
  <c r="H97" i="1"/>
  <c r="I97" i="1"/>
  <c r="J97" i="1"/>
  <c r="K97" i="1"/>
  <c r="M97" i="1"/>
  <c r="A1113" i="1"/>
  <c r="G1113" i="1"/>
  <c r="H1113" i="1"/>
  <c r="I1113" i="1"/>
  <c r="J1113" i="1"/>
  <c r="L1113" i="1"/>
  <c r="M1113" i="1"/>
  <c r="A3606" i="1"/>
  <c r="G3606" i="1"/>
  <c r="H3606" i="1"/>
  <c r="I3606" i="1"/>
  <c r="J3606" i="1"/>
  <c r="A3607" i="1"/>
  <c r="G3607" i="1"/>
  <c r="H3607" i="1"/>
  <c r="I3607" i="1"/>
  <c r="J3607" i="1"/>
  <c r="K3607" i="1"/>
  <c r="M3607" i="1"/>
  <c r="A1114" i="1"/>
  <c r="G1114" i="1"/>
  <c r="H1114" i="1"/>
  <c r="I1114" i="1"/>
  <c r="J1114" i="1"/>
  <c r="K1114" i="1"/>
  <c r="M1114" i="1"/>
  <c r="A2347" i="1"/>
  <c r="G2347" i="1"/>
  <c r="H2347" i="1"/>
  <c r="I2347" i="1"/>
  <c r="J2347" i="1"/>
  <c r="K2347" i="1"/>
  <c r="M2347" i="1"/>
  <c r="A2348" i="1"/>
  <c r="G2348" i="1"/>
  <c r="H2348" i="1"/>
  <c r="I2348" i="1"/>
  <c r="J2348" i="1"/>
  <c r="K2348" i="1"/>
  <c r="M2348" i="1"/>
  <c r="A3608" i="1"/>
  <c r="G3608" i="1"/>
  <c r="H3608" i="1"/>
  <c r="I3608" i="1"/>
  <c r="J3608" i="1"/>
  <c r="A1115" i="1"/>
  <c r="G1115" i="1"/>
  <c r="H1115" i="1"/>
  <c r="I1115" i="1"/>
  <c r="J1115" i="1"/>
  <c r="M1115" i="1"/>
  <c r="A1116" i="1"/>
  <c r="G1116" i="1"/>
  <c r="H1116" i="1"/>
  <c r="I1116" i="1"/>
  <c r="J1116" i="1"/>
  <c r="K1116" i="1"/>
  <c r="M1116" i="1"/>
  <c r="A4727" i="1"/>
  <c r="G4727" i="1"/>
  <c r="H4727" i="1"/>
  <c r="I4727" i="1"/>
  <c r="J4727" i="1"/>
  <c r="M4727" i="1"/>
  <c r="A2349" i="1"/>
  <c r="G2349" i="1"/>
  <c r="H2349" i="1"/>
  <c r="I2349" i="1"/>
  <c r="J2349" i="1"/>
  <c r="K2349" i="1"/>
  <c r="M2349" i="1"/>
  <c r="A3609" i="1"/>
  <c r="G3609" i="1"/>
  <c r="H3609" i="1"/>
  <c r="I3609" i="1"/>
  <c r="J3609" i="1"/>
  <c r="A3610" i="1"/>
  <c r="G3610" i="1"/>
  <c r="H3610" i="1"/>
  <c r="I3610" i="1"/>
  <c r="J3610" i="1"/>
  <c r="A1117" i="1"/>
  <c r="G1117" i="1"/>
  <c r="H1117" i="1"/>
  <c r="I1117" i="1"/>
  <c r="J1117" i="1"/>
  <c r="M1117" i="1"/>
  <c r="A1118" i="1"/>
  <c r="G1118" i="1"/>
  <c r="H1118" i="1"/>
  <c r="I1118" i="1"/>
  <c r="J1118" i="1"/>
  <c r="K1118" i="1"/>
  <c r="M1118" i="1"/>
  <c r="A3611" i="1"/>
  <c r="G3611" i="1"/>
  <c r="H3611" i="1"/>
  <c r="I3611" i="1"/>
  <c r="J3611" i="1"/>
  <c r="K3611" i="1"/>
  <c r="M3611" i="1"/>
  <c r="A4499" i="1"/>
  <c r="G4499" i="1"/>
  <c r="H4499" i="1"/>
  <c r="I4499" i="1"/>
  <c r="J4499" i="1"/>
  <c r="K4499" i="1"/>
  <c r="M4499" i="1"/>
  <c r="A3612" i="1"/>
  <c r="G3612" i="1"/>
  <c r="H3612" i="1"/>
  <c r="I3612" i="1"/>
  <c r="J3612" i="1"/>
  <c r="A2350" i="1"/>
  <c r="G2350" i="1"/>
  <c r="H2350" i="1"/>
  <c r="I2350" i="1"/>
  <c r="J2350" i="1"/>
  <c r="K2350" i="1"/>
  <c r="M2350" i="1"/>
  <c r="A2351" i="1"/>
  <c r="G2351" i="1"/>
  <c r="H2351" i="1"/>
  <c r="I2351" i="1"/>
  <c r="J2351" i="1"/>
  <c r="K2351" i="1"/>
  <c r="M2351" i="1"/>
  <c r="A1119" i="1"/>
  <c r="G1119" i="1"/>
  <c r="H1119" i="1"/>
  <c r="I1119" i="1"/>
  <c r="J1119" i="1"/>
  <c r="M1119" i="1"/>
  <c r="A3613" i="1"/>
  <c r="G3613" i="1"/>
  <c r="H3613" i="1"/>
  <c r="I3613" i="1"/>
  <c r="J3613" i="1"/>
  <c r="K3613" i="1"/>
  <c r="M3613" i="1"/>
  <c r="A98" i="1"/>
  <c r="G98" i="1"/>
  <c r="H98" i="1"/>
  <c r="I98" i="1"/>
  <c r="J98" i="1"/>
  <c r="A2872" i="1"/>
  <c r="G2872" i="1"/>
  <c r="H2872" i="1"/>
  <c r="I2872" i="1"/>
  <c r="J2872" i="1"/>
  <c r="K2872" i="1"/>
  <c r="M2872" i="1"/>
  <c r="A99" i="1"/>
  <c r="G99" i="1"/>
  <c r="H99" i="1"/>
  <c r="I99" i="1"/>
  <c r="J99" i="1"/>
  <c r="A4500" i="1"/>
  <c r="G4500" i="1"/>
  <c r="H4500" i="1"/>
  <c r="I4500" i="1"/>
  <c r="J4500" i="1"/>
  <c r="K4500" i="1"/>
  <c r="M4500" i="1"/>
  <c r="A1120" i="1"/>
  <c r="G1120" i="1"/>
  <c r="H1120" i="1"/>
  <c r="I1120" i="1"/>
  <c r="J1120" i="1"/>
  <c r="K1120" i="1"/>
  <c r="M1120" i="1"/>
  <c r="A3614" i="1"/>
  <c r="G3614" i="1"/>
  <c r="H3614" i="1"/>
  <c r="I3614" i="1"/>
  <c r="J3614" i="1"/>
  <c r="A1121" i="1"/>
  <c r="G1121" i="1"/>
  <c r="H1121" i="1"/>
  <c r="I1121" i="1"/>
  <c r="J1121" i="1"/>
  <c r="K1121" i="1"/>
  <c r="M1121" i="1"/>
  <c r="A1122" i="1"/>
  <c r="G1122" i="1"/>
  <c r="H1122" i="1"/>
  <c r="I1122" i="1"/>
  <c r="J1122" i="1"/>
  <c r="K1122" i="1"/>
  <c r="M1122" i="1"/>
  <c r="A1123" i="1"/>
  <c r="G1123" i="1"/>
  <c r="H1123" i="1"/>
  <c r="I1123" i="1"/>
  <c r="J1123" i="1"/>
  <c r="K1123" i="1"/>
  <c r="M1123" i="1"/>
  <c r="A3615" i="1"/>
  <c r="G3615" i="1"/>
  <c r="H3615" i="1"/>
  <c r="I3615" i="1"/>
  <c r="J3615" i="1"/>
  <c r="K3615" i="1"/>
  <c r="M3615" i="1"/>
  <c r="A3616" i="1"/>
  <c r="G3616" i="1"/>
  <c r="H3616" i="1"/>
  <c r="I3616" i="1"/>
  <c r="J3616" i="1"/>
  <c r="K3616" i="1"/>
  <c r="M3616" i="1"/>
  <c r="A1124" i="1"/>
  <c r="G1124" i="1"/>
  <c r="H1124" i="1"/>
  <c r="I1124" i="1"/>
  <c r="J1124" i="1"/>
  <c r="K1124" i="1"/>
  <c r="M1124" i="1"/>
  <c r="A4247" i="1"/>
  <c r="G4247" i="1"/>
  <c r="H4247" i="1"/>
  <c r="I4247" i="1"/>
  <c r="J4247" i="1"/>
  <c r="A1125" i="1"/>
  <c r="G1125" i="1"/>
  <c r="H1125" i="1"/>
  <c r="I1125" i="1"/>
  <c r="J1125" i="1"/>
  <c r="K1125" i="1"/>
  <c r="M1125" i="1"/>
  <c r="A2352" i="1"/>
  <c r="G2352" i="1"/>
  <c r="H2352" i="1"/>
  <c r="I2352" i="1"/>
  <c r="J2352" i="1"/>
  <c r="K2352" i="1"/>
  <c r="M2352" i="1"/>
  <c r="A4615" i="1"/>
  <c r="G4615" i="1"/>
  <c r="H4615" i="1"/>
  <c r="I4615" i="1"/>
  <c r="J4615" i="1"/>
  <c r="A2353" i="1"/>
  <c r="G2353" i="1"/>
  <c r="H2353" i="1"/>
  <c r="I2353" i="1"/>
  <c r="J2353" i="1"/>
  <c r="K2353" i="1"/>
  <c r="M2353" i="1"/>
  <c r="A1126" i="1"/>
  <c r="G1126" i="1"/>
  <c r="H1126" i="1"/>
  <c r="I1126" i="1"/>
  <c r="J1126" i="1"/>
  <c r="M1126" i="1"/>
  <c r="A2354" i="1"/>
  <c r="G2354" i="1"/>
  <c r="H2354" i="1"/>
  <c r="I2354" i="1"/>
  <c r="J2354" i="1"/>
  <c r="K2354" i="1"/>
  <c r="M2354" i="1"/>
  <c r="A1127" i="1"/>
  <c r="G1127" i="1"/>
  <c r="H1127" i="1"/>
  <c r="I1127" i="1"/>
  <c r="J1127" i="1"/>
  <c r="K1127" i="1"/>
  <c r="M1127" i="1"/>
  <c r="A1128" i="1"/>
  <c r="G1128" i="1"/>
  <c r="H1128" i="1"/>
  <c r="I1128" i="1"/>
  <c r="J1128" i="1"/>
  <c r="K1128" i="1"/>
  <c r="M1128" i="1"/>
  <c r="A1129" i="1"/>
  <c r="G1129" i="1"/>
  <c r="H1129" i="1"/>
  <c r="I1129" i="1"/>
  <c r="J1129" i="1"/>
  <c r="K1129" i="1"/>
  <c r="M1129" i="1"/>
  <c r="A3617" i="1"/>
  <c r="G3617" i="1"/>
  <c r="H3617" i="1"/>
  <c r="I3617" i="1"/>
  <c r="J3617" i="1"/>
  <c r="K3617" i="1"/>
  <c r="M3617" i="1"/>
  <c r="A3618" i="1"/>
  <c r="G3618" i="1"/>
  <c r="H3618" i="1"/>
  <c r="I3618" i="1"/>
  <c r="J3618" i="1"/>
  <c r="A2355" i="1"/>
  <c r="G2355" i="1"/>
  <c r="H2355" i="1"/>
  <c r="I2355" i="1"/>
  <c r="J2355" i="1"/>
  <c r="K2355" i="1"/>
  <c r="M2355" i="1"/>
  <c r="A1130" i="1"/>
  <c r="G1130" i="1"/>
  <c r="H1130" i="1"/>
  <c r="I1130" i="1"/>
  <c r="J1130" i="1"/>
  <c r="K1130" i="1"/>
  <c r="M1130" i="1"/>
  <c r="A4728" i="1"/>
  <c r="G4728" i="1"/>
  <c r="H4728" i="1"/>
  <c r="I4728" i="1"/>
  <c r="J4728" i="1"/>
  <c r="M4728" i="1"/>
  <c r="A3619" i="1"/>
  <c r="G3619" i="1"/>
  <c r="H3619" i="1"/>
  <c r="I3619" i="1"/>
  <c r="J3619" i="1"/>
  <c r="K3619" i="1"/>
  <c r="M3619" i="1"/>
  <c r="A3620" i="1"/>
  <c r="G3620" i="1"/>
  <c r="H3620" i="1"/>
  <c r="I3620" i="1"/>
  <c r="J3620" i="1"/>
  <c r="A3621" i="1"/>
  <c r="G3621" i="1"/>
  <c r="H3621" i="1"/>
  <c r="I3621" i="1"/>
  <c r="J3621" i="1"/>
  <c r="K3621" i="1"/>
  <c r="M3621" i="1"/>
  <c r="A3622" i="1"/>
  <c r="G3622" i="1"/>
  <c r="H3622" i="1"/>
  <c r="I3622" i="1"/>
  <c r="J3622" i="1"/>
  <c r="A1131" i="1"/>
  <c r="G1131" i="1"/>
  <c r="H1131" i="1"/>
  <c r="I1131" i="1"/>
  <c r="J1131" i="1"/>
  <c r="M1131" i="1"/>
  <c r="A1132" i="1"/>
  <c r="G1132" i="1"/>
  <c r="H1132" i="1"/>
  <c r="I1132" i="1"/>
  <c r="J1132" i="1"/>
  <c r="M1132" i="1"/>
  <c r="A3623" i="1"/>
  <c r="G3623" i="1"/>
  <c r="H3623" i="1"/>
  <c r="I3623" i="1"/>
  <c r="J3623" i="1"/>
  <c r="A3624" i="1"/>
  <c r="G3624" i="1"/>
  <c r="H3624" i="1"/>
  <c r="I3624" i="1"/>
  <c r="J3624" i="1"/>
  <c r="A1133" i="1"/>
  <c r="G1133" i="1"/>
  <c r="H1133" i="1"/>
  <c r="I1133" i="1"/>
  <c r="J1133" i="1"/>
  <c r="K1133" i="1"/>
  <c r="M1133" i="1"/>
  <c r="A1134" i="1"/>
  <c r="G1134" i="1"/>
  <c r="H1134" i="1"/>
  <c r="I1134" i="1"/>
  <c r="J1134" i="1"/>
  <c r="K1134" i="1"/>
  <c r="M1134" i="1"/>
  <c r="A1135" i="1"/>
  <c r="G1135" i="1"/>
  <c r="H1135" i="1"/>
  <c r="I1135" i="1"/>
  <c r="J1135" i="1"/>
  <c r="M1135" i="1"/>
  <c r="A1136" i="1"/>
  <c r="G1136" i="1"/>
  <c r="H1136" i="1"/>
  <c r="I1136" i="1"/>
  <c r="J1136" i="1"/>
  <c r="K1136" i="1"/>
  <c r="M1136" i="1"/>
  <c r="A3625" i="1"/>
  <c r="G3625" i="1"/>
  <c r="H3625" i="1"/>
  <c r="I3625" i="1"/>
  <c r="J3625" i="1"/>
  <c r="A1137" i="1"/>
  <c r="G1137" i="1"/>
  <c r="H1137" i="1"/>
  <c r="I1137" i="1"/>
  <c r="J1137" i="1"/>
  <c r="K1137" i="1"/>
  <c r="M1137" i="1"/>
  <c r="A2873" i="1"/>
  <c r="G2873" i="1"/>
  <c r="H2873" i="1"/>
  <c r="I2873" i="1"/>
  <c r="J2873" i="1"/>
  <c r="M2873" i="1"/>
  <c r="A1138" i="1"/>
  <c r="G1138" i="1"/>
  <c r="H1138" i="1"/>
  <c r="I1138" i="1"/>
  <c r="J1138" i="1"/>
  <c r="K1138" i="1"/>
  <c r="M1138" i="1"/>
  <c r="A2356" i="1"/>
  <c r="G2356" i="1"/>
  <c r="H2356" i="1"/>
  <c r="I2356" i="1"/>
  <c r="J2356" i="1"/>
  <c r="K2356" i="1"/>
  <c r="M2356" i="1"/>
  <c r="A2797" i="1"/>
  <c r="G2797" i="1"/>
  <c r="H2797" i="1"/>
  <c r="I2797" i="1"/>
  <c r="J2797" i="1"/>
  <c r="K2797" i="1"/>
  <c r="M2797" i="1"/>
  <c r="A1139" i="1"/>
  <c r="G1139" i="1"/>
  <c r="H1139" i="1"/>
  <c r="I1139" i="1"/>
  <c r="J1139" i="1"/>
  <c r="K1139" i="1"/>
  <c r="M1139" i="1"/>
  <c r="A3626" i="1"/>
  <c r="G3626" i="1"/>
  <c r="H3626" i="1"/>
  <c r="I3626" i="1"/>
  <c r="J3626" i="1"/>
  <c r="A3627" i="1"/>
  <c r="G3627" i="1"/>
  <c r="H3627" i="1"/>
  <c r="I3627" i="1"/>
  <c r="J3627" i="1"/>
  <c r="K3627" i="1"/>
  <c r="M3627" i="1"/>
  <c r="A3628" i="1"/>
  <c r="G3628" i="1"/>
  <c r="H3628" i="1"/>
  <c r="I3628" i="1"/>
  <c r="J3628" i="1"/>
  <c r="K3628" i="1"/>
  <c r="M3628" i="1"/>
  <c r="A1140" i="1"/>
  <c r="G1140" i="1"/>
  <c r="H1140" i="1"/>
  <c r="I1140" i="1"/>
  <c r="J1140" i="1"/>
  <c r="M1140" i="1"/>
  <c r="A2798" i="1"/>
  <c r="G2798" i="1"/>
  <c r="H2798" i="1"/>
  <c r="I2798" i="1"/>
  <c r="J2798" i="1"/>
  <c r="K2798" i="1"/>
  <c r="M2798" i="1"/>
  <c r="A3629" i="1"/>
  <c r="G3629" i="1"/>
  <c r="H3629" i="1"/>
  <c r="I3629" i="1"/>
  <c r="J3629" i="1"/>
  <c r="K3629" i="1"/>
  <c r="M3629" i="1"/>
  <c r="A4729" i="1"/>
  <c r="G4729" i="1"/>
  <c r="H4729" i="1"/>
  <c r="I4729" i="1"/>
  <c r="J4729" i="1"/>
  <c r="M4729" i="1"/>
  <c r="A3630" i="1"/>
  <c r="G3630" i="1"/>
  <c r="H3630" i="1"/>
  <c r="I3630" i="1"/>
  <c r="J3630" i="1"/>
  <c r="K3630" i="1"/>
  <c r="M3630" i="1"/>
  <c r="A1141" i="1"/>
  <c r="G1141" i="1"/>
  <c r="H1141" i="1"/>
  <c r="I1141" i="1"/>
  <c r="J1141" i="1"/>
  <c r="K1141" i="1"/>
  <c r="M1141" i="1"/>
  <c r="A1142" i="1"/>
  <c r="G1142" i="1"/>
  <c r="H1142" i="1"/>
  <c r="I1142" i="1"/>
  <c r="J1142" i="1"/>
  <c r="K1142" i="1"/>
  <c r="M1142" i="1"/>
  <c r="A1143" i="1"/>
  <c r="G1143" i="1"/>
  <c r="H1143" i="1"/>
  <c r="I1143" i="1"/>
  <c r="J1143" i="1"/>
  <c r="M1143" i="1"/>
  <c r="A1144" i="1"/>
  <c r="G1144" i="1"/>
  <c r="H1144" i="1"/>
  <c r="I1144" i="1"/>
  <c r="J1144" i="1"/>
  <c r="A3631" i="1"/>
  <c r="G3631" i="1"/>
  <c r="H3631" i="1"/>
  <c r="I3631" i="1"/>
  <c r="J3631" i="1"/>
  <c r="A1145" i="1"/>
  <c r="G1145" i="1"/>
  <c r="H1145" i="1"/>
  <c r="I1145" i="1"/>
  <c r="J1145" i="1"/>
  <c r="K1145" i="1"/>
  <c r="M1145" i="1"/>
  <c r="A1146" i="1"/>
  <c r="G1146" i="1"/>
  <c r="H1146" i="1"/>
  <c r="I1146" i="1"/>
  <c r="J1146" i="1"/>
  <c r="K1146" i="1"/>
  <c r="M1146" i="1"/>
  <c r="A1147" i="1"/>
  <c r="G1147" i="1"/>
  <c r="H1147" i="1"/>
  <c r="I1147" i="1"/>
  <c r="J1147" i="1"/>
  <c r="K1147" i="1"/>
  <c r="M1147" i="1"/>
  <c r="A3632" i="1"/>
  <c r="G3632" i="1"/>
  <c r="H3632" i="1"/>
  <c r="I3632" i="1"/>
  <c r="J3632" i="1"/>
  <c r="K3632" i="1"/>
  <c r="M3632" i="1"/>
  <c r="A1148" i="1"/>
  <c r="G1148" i="1"/>
  <c r="H1148" i="1"/>
  <c r="I1148" i="1"/>
  <c r="J1148" i="1"/>
  <c r="K1148" i="1"/>
  <c r="M1148" i="1"/>
  <c r="A1149" i="1"/>
  <c r="G1149" i="1"/>
  <c r="H1149" i="1"/>
  <c r="I1149" i="1"/>
  <c r="J1149" i="1"/>
  <c r="L1149" i="1"/>
  <c r="M1149" i="1"/>
  <c r="A1150" i="1"/>
  <c r="G1150" i="1"/>
  <c r="H1150" i="1"/>
  <c r="I1150" i="1"/>
  <c r="J1150" i="1"/>
  <c r="K1150" i="1"/>
  <c r="M1150" i="1"/>
  <c r="A1151" i="1"/>
  <c r="G1151" i="1"/>
  <c r="H1151" i="1"/>
  <c r="I1151" i="1"/>
  <c r="J1151" i="1"/>
  <c r="K1151" i="1"/>
  <c r="M1151" i="1"/>
  <c r="A4248" i="1"/>
  <c r="G4248" i="1"/>
  <c r="H4248" i="1"/>
  <c r="I4248" i="1"/>
  <c r="J4248" i="1"/>
  <c r="K4248" i="1"/>
  <c r="M4248" i="1"/>
  <c r="A2357" i="1"/>
  <c r="G2357" i="1"/>
  <c r="H2357" i="1"/>
  <c r="I2357" i="1"/>
  <c r="J2357" i="1"/>
  <c r="A100" i="1"/>
  <c r="G100" i="1"/>
  <c r="H100" i="1"/>
  <c r="I100" i="1"/>
  <c r="J100" i="1"/>
  <c r="K100" i="1"/>
  <c r="M100" i="1"/>
  <c r="A1152" i="1"/>
  <c r="G1152" i="1"/>
  <c r="H1152" i="1"/>
  <c r="I1152" i="1"/>
  <c r="J1152" i="1"/>
  <c r="K1152" i="1"/>
  <c r="M1152" i="1"/>
  <c r="A3633" i="1"/>
  <c r="G3633" i="1"/>
  <c r="H3633" i="1"/>
  <c r="I3633" i="1"/>
  <c r="J3633" i="1"/>
  <c r="A2358" i="1"/>
  <c r="G2358" i="1"/>
  <c r="H2358" i="1"/>
  <c r="I2358" i="1"/>
  <c r="J2358" i="1"/>
  <c r="K2358" i="1"/>
  <c r="M2358" i="1"/>
  <c r="A1153" i="1"/>
  <c r="G1153" i="1"/>
  <c r="H1153" i="1"/>
  <c r="I1153" i="1"/>
  <c r="J1153" i="1"/>
  <c r="M1153" i="1"/>
  <c r="A3634" i="1"/>
  <c r="G3634" i="1"/>
  <c r="H3634" i="1"/>
  <c r="I3634" i="1"/>
  <c r="J3634" i="1"/>
  <c r="A3635" i="1"/>
  <c r="G3635" i="1"/>
  <c r="H3635" i="1"/>
  <c r="I3635" i="1"/>
  <c r="J3635" i="1"/>
  <c r="K3635" i="1"/>
  <c r="M3635" i="1"/>
  <c r="A2359" i="1"/>
  <c r="G2359" i="1"/>
  <c r="H2359" i="1"/>
  <c r="I2359" i="1"/>
  <c r="J2359" i="1"/>
  <c r="K2359" i="1"/>
  <c r="M2359" i="1"/>
  <c r="A4730" i="1"/>
  <c r="G4730" i="1"/>
  <c r="H4730" i="1"/>
  <c r="I4730" i="1"/>
  <c r="J4730" i="1"/>
  <c r="M4730" i="1"/>
  <c r="A3636" i="1"/>
  <c r="G3636" i="1"/>
  <c r="H3636" i="1"/>
  <c r="I3636" i="1"/>
  <c r="J3636" i="1"/>
  <c r="K3636" i="1"/>
  <c r="M3636" i="1"/>
  <c r="A2360" i="1"/>
  <c r="G2360" i="1"/>
  <c r="H2360" i="1"/>
  <c r="I2360" i="1"/>
  <c r="J2360" i="1"/>
  <c r="A4616" i="1"/>
  <c r="G4616" i="1"/>
  <c r="H4616" i="1"/>
  <c r="I4616" i="1"/>
  <c r="J4616" i="1"/>
  <c r="K4616" i="1"/>
  <c r="M4616" i="1"/>
  <c r="A3637" i="1"/>
  <c r="G3637" i="1"/>
  <c r="H3637" i="1"/>
  <c r="I3637" i="1"/>
  <c r="J3637" i="1"/>
  <c r="A3638" i="1"/>
  <c r="G3638" i="1"/>
  <c r="H3638" i="1"/>
  <c r="I3638" i="1"/>
  <c r="J3638" i="1"/>
  <c r="K3638" i="1"/>
  <c r="M3638" i="1"/>
  <c r="A2361" i="1"/>
  <c r="G2361" i="1"/>
  <c r="H2361" i="1"/>
  <c r="I2361" i="1"/>
  <c r="J2361" i="1"/>
  <c r="M2361" i="1"/>
  <c r="A2362" i="1"/>
  <c r="G2362" i="1"/>
  <c r="H2362" i="1"/>
  <c r="I2362" i="1"/>
  <c r="J2362" i="1"/>
  <c r="K2362" i="1"/>
  <c r="M2362" i="1"/>
  <c r="A4307" i="1"/>
  <c r="G4307" i="1"/>
  <c r="H4307" i="1"/>
  <c r="I4307" i="1"/>
  <c r="J4307" i="1"/>
  <c r="K4307" i="1"/>
  <c r="M4307" i="1"/>
  <c r="A1154" i="1"/>
  <c r="G1154" i="1"/>
  <c r="H1154" i="1"/>
  <c r="I1154" i="1"/>
  <c r="J1154" i="1"/>
  <c r="K1154" i="1"/>
  <c r="M1154" i="1"/>
  <c r="A1155" i="1"/>
  <c r="G1155" i="1"/>
  <c r="H1155" i="1"/>
  <c r="I1155" i="1"/>
  <c r="J1155" i="1"/>
  <c r="K1155" i="1"/>
  <c r="M1155" i="1"/>
  <c r="A3639" i="1"/>
  <c r="G3639" i="1"/>
  <c r="H3639" i="1"/>
  <c r="I3639" i="1"/>
  <c r="J3639" i="1"/>
  <c r="A101" i="1"/>
  <c r="G101" i="1"/>
  <c r="H101" i="1"/>
  <c r="I101" i="1"/>
  <c r="J101" i="1"/>
  <c r="K101" i="1"/>
  <c r="M101" i="1"/>
  <c r="A2799" i="1"/>
  <c r="G2799" i="1"/>
  <c r="H2799" i="1"/>
  <c r="I2799" i="1"/>
  <c r="J2799" i="1"/>
  <c r="K2799" i="1"/>
  <c r="M2799" i="1"/>
  <c r="A1156" i="1"/>
  <c r="G1156" i="1"/>
  <c r="H1156" i="1"/>
  <c r="I1156" i="1"/>
  <c r="J1156" i="1"/>
  <c r="M1156" i="1"/>
  <c r="A3640" i="1"/>
  <c r="G3640" i="1"/>
  <c r="H3640" i="1"/>
  <c r="I3640" i="1"/>
  <c r="J3640" i="1"/>
  <c r="K3640" i="1"/>
  <c r="M3640" i="1"/>
  <c r="A3641" i="1"/>
  <c r="G3641" i="1"/>
  <c r="H3641" i="1"/>
  <c r="I3641" i="1"/>
  <c r="J3641" i="1"/>
  <c r="A2363" i="1"/>
  <c r="G2363" i="1"/>
  <c r="H2363" i="1"/>
  <c r="I2363" i="1"/>
  <c r="J2363" i="1"/>
  <c r="K2363" i="1"/>
  <c r="M2363" i="1"/>
  <c r="A3642" i="1"/>
  <c r="G3642" i="1"/>
  <c r="H3642" i="1"/>
  <c r="I3642" i="1"/>
  <c r="J3642" i="1"/>
  <c r="A2364" i="1"/>
  <c r="G2364" i="1"/>
  <c r="H2364" i="1"/>
  <c r="I2364" i="1"/>
  <c r="J2364" i="1"/>
  <c r="K2364" i="1"/>
  <c r="M2364" i="1"/>
  <c r="A1157" i="1"/>
  <c r="G1157" i="1"/>
  <c r="H1157" i="1"/>
  <c r="I1157" i="1"/>
  <c r="J1157" i="1"/>
  <c r="K1157" i="1"/>
  <c r="M1157" i="1"/>
  <c r="A2365" i="1"/>
  <c r="G2365" i="1"/>
  <c r="H2365" i="1"/>
  <c r="I2365" i="1"/>
  <c r="J2365" i="1"/>
  <c r="A1158" i="1"/>
  <c r="G1158" i="1"/>
  <c r="H1158" i="1"/>
  <c r="I1158" i="1"/>
  <c r="J1158" i="1"/>
  <c r="K1158" i="1"/>
  <c r="M1158" i="1"/>
  <c r="A1159" i="1"/>
  <c r="G1159" i="1"/>
  <c r="H1159" i="1"/>
  <c r="I1159" i="1"/>
  <c r="J1159" i="1"/>
  <c r="K1159" i="1"/>
  <c r="M1159" i="1"/>
  <c r="A2366" i="1"/>
  <c r="G2366" i="1"/>
  <c r="H2366" i="1"/>
  <c r="I2366" i="1"/>
  <c r="J2366" i="1"/>
  <c r="A2800" i="1"/>
  <c r="G2800" i="1"/>
  <c r="H2800" i="1"/>
  <c r="I2800" i="1"/>
  <c r="J2800" i="1"/>
  <c r="K2800" i="1"/>
  <c r="M2800" i="1"/>
  <c r="A4501" i="1"/>
  <c r="G4501" i="1"/>
  <c r="H4501" i="1"/>
  <c r="I4501" i="1"/>
  <c r="J4501" i="1"/>
  <c r="L4501" i="1"/>
  <c r="M4501" i="1"/>
  <c r="A1160" i="1"/>
  <c r="G1160" i="1"/>
  <c r="H1160" i="1"/>
  <c r="I1160" i="1"/>
  <c r="J1160" i="1"/>
  <c r="K1160" i="1"/>
  <c r="M1160" i="1"/>
  <c r="A3643" i="1"/>
  <c r="G3643" i="1"/>
  <c r="H3643" i="1"/>
  <c r="I3643" i="1"/>
  <c r="J3643" i="1"/>
  <c r="A2367" i="1"/>
  <c r="G2367" i="1"/>
  <c r="H2367" i="1"/>
  <c r="I2367" i="1"/>
  <c r="J2367" i="1"/>
  <c r="K2367" i="1"/>
  <c r="M2367" i="1"/>
  <c r="A1161" i="1"/>
  <c r="G1161" i="1"/>
  <c r="H1161" i="1"/>
  <c r="I1161" i="1"/>
  <c r="J1161" i="1"/>
  <c r="K1161" i="1"/>
  <c r="M1161" i="1"/>
  <c r="A3644" i="1"/>
  <c r="G3644" i="1"/>
  <c r="H3644" i="1"/>
  <c r="I3644" i="1"/>
  <c r="J3644" i="1"/>
  <c r="K3644" i="1"/>
  <c r="M3644" i="1"/>
  <c r="A2368" i="1"/>
  <c r="G2368" i="1"/>
  <c r="H2368" i="1"/>
  <c r="I2368" i="1"/>
  <c r="J2368" i="1"/>
  <c r="M2368" i="1"/>
  <c r="A2369" i="1"/>
  <c r="G2369" i="1"/>
  <c r="H2369" i="1"/>
  <c r="I2369" i="1"/>
  <c r="J2369" i="1"/>
  <c r="K2369" i="1"/>
  <c r="M2369" i="1"/>
  <c r="A4502" i="1"/>
  <c r="G4502" i="1"/>
  <c r="H4502" i="1"/>
  <c r="I4502" i="1"/>
  <c r="J4502" i="1"/>
  <c r="K4502" i="1"/>
  <c r="M4502" i="1"/>
  <c r="A2370" i="1"/>
  <c r="G2370" i="1"/>
  <c r="H2370" i="1"/>
  <c r="I2370" i="1"/>
  <c r="J2370" i="1"/>
  <c r="K2370" i="1"/>
  <c r="M2370" i="1"/>
  <c r="A4503" i="1"/>
  <c r="G4503" i="1"/>
  <c r="H4503" i="1"/>
  <c r="I4503" i="1"/>
  <c r="J4503" i="1"/>
  <c r="K4503" i="1"/>
  <c r="M4503" i="1"/>
  <c r="A1162" i="1"/>
  <c r="G1162" i="1"/>
  <c r="H1162" i="1"/>
  <c r="I1162" i="1"/>
  <c r="J1162" i="1"/>
  <c r="K1162" i="1"/>
  <c r="M1162" i="1"/>
  <c r="A2371" i="1"/>
  <c r="G2371" i="1"/>
  <c r="H2371" i="1"/>
  <c r="I2371" i="1"/>
  <c r="J2371" i="1"/>
  <c r="A1163" i="1"/>
  <c r="G1163" i="1"/>
  <c r="H1163" i="1"/>
  <c r="I1163" i="1"/>
  <c r="J1163" i="1"/>
  <c r="K1163" i="1"/>
  <c r="M1163" i="1"/>
  <c r="A1164" i="1"/>
  <c r="G1164" i="1"/>
  <c r="H1164" i="1"/>
  <c r="I1164" i="1"/>
  <c r="J1164" i="1"/>
  <c r="M1164" i="1"/>
  <c r="A1165" i="1"/>
  <c r="G1165" i="1"/>
  <c r="H1165" i="1"/>
  <c r="I1165" i="1"/>
  <c r="J1165" i="1"/>
  <c r="K1165" i="1"/>
  <c r="M1165" i="1"/>
  <c r="A1166" i="1"/>
  <c r="G1166" i="1"/>
  <c r="H1166" i="1"/>
  <c r="I1166" i="1"/>
  <c r="J1166" i="1"/>
  <c r="K1166" i="1"/>
  <c r="M1166" i="1"/>
  <c r="A3645" i="1"/>
  <c r="G3645" i="1"/>
  <c r="H3645" i="1"/>
  <c r="I3645" i="1"/>
  <c r="J3645" i="1"/>
  <c r="A4504" i="1"/>
  <c r="G4504" i="1"/>
  <c r="H4504" i="1"/>
  <c r="I4504" i="1"/>
  <c r="J4504" i="1"/>
  <c r="K4504" i="1"/>
  <c r="M4504" i="1"/>
  <c r="A3646" i="1"/>
  <c r="G3646" i="1"/>
  <c r="H3646" i="1"/>
  <c r="I3646" i="1"/>
  <c r="J3646" i="1"/>
  <c r="K3646" i="1"/>
  <c r="M3646" i="1"/>
  <c r="A1167" i="1"/>
  <c r="G1167" i="1"/>
  <c r="H1167" i="1"/>
  <c r="I1167" i="1"/>
  <c r="J1167" i="1"/>
  <c r="K1167" i="1"/>
  <c r="M1167" i="1"/>
  <c r="A102" i="1"/>
  <c r="G102" i="1"/>
  <c r="H102" i="1"/>
  <c r="I102" i="1"/>
  <c r="J102" i="1"/>
  <c r="A1168" i="1"/>
  <c r="G1168" i="1"/>
  <c r="H1168" i="1"/>
  <c r="I1168" i="1"/>
  <c r="J1168" i="1"/>
  <c r="K1168" i="1"/>
  <c r="L1168" i="1"/>
  <c r="M1168" i="1"/>
  <c r="A3647" i="1"/>
  <c r="G3647" i="1"/>
  <c r="H3647" i="1"/>
  <c r="I3647" i="1"/>
  <c r="J3647" i="1"/>
  <c r="K3647" i="1"/>
  <c r="M3647" i="1"/>
  <c r="A4731" i="1"/>
  <c r="G4731" i="1"/>
  <c r="H4731" i="1"/>
  <c r="I4731" i="1"/>
  <c r="J4731" i="1"/>
  <c r="M4731" i="1"/>
  <c r="A4732" i="1"/>
  <c r="G4732" i="1"/>
  <c r="H4732" i="1"/>
  <c r="I4732" i="1"/>
  <c r="J4732" i="1"/>
  <c r="M4732" i="1"/>
  <c r="A2372" i="1"/>
  <c r="G2372" i="1"/>
  <c r="H2372" i="1"/>
  <c r="I2372" i="1"/>
  <c r="J2372" i="1"/>
  <c r="K2372" i="1"/>
  <c r="M2372" i="1"/>
  <c r="A3648" i="1"/>
  <c r="G3648" i="1"/>
  <c r="H3648" i="1"/>
  <c r="I3648" i="1"/>
  <c r="J3648" i="1"/>
  <c r="K3648" i="1"/>
  <c r="M3648" i="1"/>
  <c r="A3649" i="1"/>
  <c r="G3649" i="1"/>
  <c r="H3649" i="1"/>
  <c r="I3649" i="1"/>
  <c r="J3649" i="1"/>
  <c r="K3649" i="1"/>
  <c r="M3649" i="1"/>
  <c r="A4793" i="1"/>
  <c r="G4793" i="1"/>
  <c r="H4793" i="1"/>
  <c r="I4793" i="1"/>
  <c r="J4793" i="1"/>
  <c r="K4793" i="1"/>
  <c r="M4793" i="1"/>
  <c r="A3650" i="1"/>
  <c r="G3650" i="1"/>
  <c r="H3650" i="1"/>
  <c r="I3650" i="1"/>
  <c r="J3650" i="1"/>
  <c r="A2373" i="1"/>
  <c r="G2373" i="1"/>
  <c r="H2373" i="1"/>
  <c r="I2373" i="1"/>
  <c r="J2373" i="1"/>
  <c r="A1169" i="1"/>
  <c r="G1169" i="1"/>
  <c r="H1169" i="1"/>
  <c r="I1169" i="1"/>
  <c r="J1169" i="1"/>
  <c r="K1169" i="1"/>
  <c r="M1169" i="1"/>
  <c r="A3651" i="1"/>
  <c r="G3651" i="1"/>
  <c r="H3651" i="1"/>
  <c r="I3651" i="1"/>
  <c r="J3651" i="1"/>
  <c r="A3652" i="1"/>
  <c r="G3652" i="1"/>
  <c r="H3652" i="1"/>
  <c r="I3652" i="1"/>
  <c r="J3652" i="1"/>
  <c r="K3652" i="1"/>
  <c r="M3652" i="1"/>
  <c r="A3653" i="1"/>
  <c r="G3653" i="1"/>
  <c r="H3653" i="1"/>
  <c r="I3653" i="1"/>
  <c r="J3653" i="1"/>
  <c r="K3653" i="1"/>
  <c r="M3653" i="1"/>
  <c r="A1170" i="1"/>
  <c r="G1170" i="1"/>
  <c r="H1170" i="1"/>
  <c r="I1170" i="1"/>
  <c r="J1170" i="1"/>
  <c r="K1170" i="1"/>
  <c r="M1170" i="1"/>
  <c r="A2374" i="1"/>
  <c r="G2374" i="1"/>
  <c r="H2374" i="1"/>
  <c r="I2374" i="1"/>
  <c r="J2374" i="1"/>
  <c r="A2375" i="1"/>
  <c r="G2375" i="1"/>
  <c r="H2375" i="1"/>
  <c r="I2375" i="1"/>
  <c r="J2375" i="1"/>
  <c r="K2375" i="1"/>
  <c r="M2375" i="1"/>
  <c r="A1171" i="1"/>
  <c r="G1171" i="1"/>
  <c r="H1171" i="1"/>
  <c r="I1171" i="1"/>
  <c r="J1171" i="1"/>
  <c r="K1171" i="1"/>
  <c r="M1171" i="1"/>
  <c r="A4733" i="1"/>
  <c r="G4733" i="1"/>
  <c r="H4733" i="1"/>
  <c r="I4733" i="1"/>
  <c r="J4733" i="1"/>
  <c r="M4733" i="1"/>
  <c r="A2376" i="1"/>
  <c r="G2376" i="1"/>
  <c r="H2376" i="1"/>
  <c r="I2376" i="1"/>
  <c r="J2376" i="1"/>
  <c r="K2376" i="1"/>
  <c r="L2376" i="1"/>
  <c r="M2376" i="1"/>
  <c r="A3654" i="1"/>
  <c r="G3654" i="1"/>
  <c r="H3654" i="1"/>
  <c r="I3654" i="1"/>
  <c r="J3654" i="1"/>
  <c r="A1172" i="1"/>
  <c r="G1172" i="1"/>
  <c r="H1172" i="1"/>
  <c r="I1172" i="1"/>
  <c r="J1172" i="1"/>
  <c r="K1172" i="1"/>
  <c r="M1172" i="1"/>
  <c r="A4333" i="1"/>
  <c r="G4333" i="1"/>
  <c r="H4333" i="1"/>
  <c r="I4333" i="1"/>
  <c r="J4333" i="1"/>
  <c r="A4308" i="1"/>
  <c r="G4308" i="1"/>
  <c r="H4308" i="1"/>
  <c r="I4308" i="1"/>
  <c r="J4308" i="1"/>
  <c r="K4308" i="1"/>
  <c r="M4308" i="1"/>
  <c r="A1173" i="1"/>
  <c r="G1173" i="1"/>
  <c r="H1173" i="1"/>
  <c r="I1173" i="1"/>
  <c r="J1173" i="1"/>
  <c r="K1173" i="1"/>
  <c r="M1173" i="1"/>
  <c r="A2377" i="1"/>
  <c r="G2377" i="1"/>
  <c r="H2377" i="1"/>
  <c r="I2377" i="1"/>
  <c r="J2377" i="1"/>
  <c r="A1174" i="1"/>
  <c r="G1174" i="1"/>
  <c r="H1174" i="1"/>
  <c r="I1174" i="1"/>
  <c r="J1174" i="1"/>
  <c r="K1174" i="1"/>
  <c r="M1174" i="1"/>
  <c r="A1175" i="1"/>
  <c r="G1175" i="1"/>
  <c r="H1175" i="1"/>
  <c r="I1175" i="1"/>
  <c r="J1175" i="1"/>
  <c r="M1175" i="1"/>
  <c r="A1176" i="1"/>
  <c r="G1176" i="1"/>
  <c r="H1176" i="1"/>
  <c r="I1176" i="1"/>
  <c r="J1176" i="1"/>
  <c r="K1176" i="1"/>
  <c r="M1176" i="1"/>
  <c r="A2378" i="1"/>
  <c r="G2378" i="1"/>
  <c r="H2378" i="1"/>
  <c r="I2378" i="1"/>
  <c r="J2378" i="1"/>
  <c r="A4505" i="1"/>
  <c r="G4505" i="1"/>
  <c r="H4505" i="1"/>
  <c r="I4505" i="1"/>
  <c r="J4505" i="1"/>
  <c r="K4505" i="1"/>
  <c r="M4505" i="1"/>
  <c r="A1177" i="1"/>
  <c r="G1177" i="1"/>
  <c r="H1177" i="1"/>
  <c r="I1177" i="1"/>
  <c r="J1177" i="1"/>
  <c r="M1177" i="1"/>
  <c r="A1178" i="1"/>
  <c r="G1178" i="1"/>
  <c r="H1178" i="1"/>
  <c r="I1178" i="1"/>
  <c r="J1178" i="1"/>
  <c r="K1178" i="1"/>
  <c r="M1178" i="1"/>
  <c r="A1179" i="1"/>
  <c r="G1179" i="1"/>
  <c r="H1179" i="1"/>
  <c r="I1179" i="1"/>
  <c r="J1179" i="1"/>
  <c r="K1179" i="1"/>
  <c r="M1179" i="1"/>
  <c r="A103" i="1"/>
  <c r="G103" i="1"/>
  <c r="H103" i="1"/>
  <c r="I103" i="1"/>
  <c r="J103" i="1"/>
  <c r="K103" i="1"/>
  <c r="M103" i="1"/>
  <c r="A2379" i="1"/>
  <c r="G2379" i="1"/>
  <c r="H2379" i="1"/>
  <c r="I2379" i="1"/>
  <c r="J2379" i="1"/>
  <c r="A4506" i="1"/>
  <c r="G4506" i="1"/>
  <c r="H4506" i="1"/>
  <c r="I4506" i="1"/>
  <c r="J4506" i="1"/>
  <c r="K4506" i="1"/>
  <c r="M4506" i="1"/>
  <c r="A3655" i="1"/>
  <c r="G3655" i="1"/>
  <c r="H3655" i="1"/>
  <c r="I3655" i="1"/>
  <c r="J3655" i="1"/>
  <c r="K3655" i="1"/>
  <c r="M3655" i="1"/>
  <c r="A2380" i="1"/>
  <c r="G2380" i="1"/>
  <c r="H2380" i="1"/>
  <c r="I2380" i="1"/>
  <c r="J2380" i="1"/>
  <c r="A2381" i="1"/>
  <c r="G2381" i="1"/>
  <c r="H2381" i="1"/>
  <c r="I2381" i="1"/>
  <c r="J2381" i="1"/>
  <c r="K2381" i="1"/>
  <c r="M2381" i="1"/>
  <c r="A3656" i="1"/>
  <c r="G3656" i="1"/>
  <c r="H3656" i="1"/>
  <c r="I3656" i="1"/>
  <c r="J3656" i="1"/>
  <c r="K3656" i="1"/>
  <c r="M3656" i="1"/>
  <c r="A2382" i="1"/>
  <c r="G2382" i="1"/>
  <c r="H2382" i="1"/>
  <c r="I2382" i="1"/>
  <c r="J2382" i="1"/>
  <c r="K2382" i="1"/>
  <c r="M2382" i="1"/>
  <c r="A1180" i="1"/>
  <c r="G1180" i="1"/>
  <c r="H1180" i="1"/>
  <c r="I1180" i="1"/>
  <c r="J1180" i="1"/>
  <c r="K1180" i="1"/>
  <c r="M1180" i="1"/>
  <c r="A1181" i="1"/>
  <c r="G1181" i="1"/>
  <c r="H1181" i="1"/>
  <c r="I1181" i="1"/>
  <c r="J1181" i="1"/>
  <c r="M1181" i="1"/>
  <c r="A4507" i="1"/>
  <c r="G4507" i="1"/>
  <c r="H4507" i="1"/>
  <c r="I4507" i="1"/>
  <c r="J4507" i="1"/>
  <c r="K4507" i="1"/>
  <c r="M4507" i="1"/>
  <c r="A1182" i="1"/>
  <c r="G1182" i="1"/>
  <c r="H1182" i="1"/>
  <c r="I1182" i="1"/>
  <c r="J1182" i="1"/>
  <c r="K1182" i="1"/>
  <c r="M1182" i="1"/>
  <c r="A104" i="1"/>
  <c r="G104" i="1"/>
  <c r="H104" i="1"/>
  <c r="I104" i="1"/>
  <c r="J104" i="1"/>
  <c r="K104" i="1"/>
  <c r="M104" i="1"/>
  <c r="A105" i="1"/>
  <c r="G105" i="1"/>
  <c r="H105" i="1"/>
  <c r="I105" i="1"/>
  <c r="J105" i="1"/>
  <c r="K105" i="1"/>
  <c r="M105" i="1"/>
  <c r="A1183" i="1"/>
  <c r="G1183" i="1"/>
  <c r="H1183" i="1"/>
  <c r="I1183" i="1"/>
  <c r="J1183" i="1"/>
  <c r="K1183" i="1"/>
  <c r="M1183" i="1"/>
  <c r="A3657" i="1"/>
  <c r="G3657" i="1"/>
  <c r="H3657" i="1"/>
  <c r="I3657" i="1"/>
  <c r="J3657" i="1"/>
  <c r="K3657" i="1"/>
  <c r="M3657" i="1"/>
  <c r="A3658" i="1"/>
  <c r="G3658" i="1"/>
  <c r="H3658" i="1"/>
  <c r="I3658" i="1"/>
  <c r="J3658" i="1"/>
  <c r="K3658" i="1"/>
  <c r="M3658" i="1"/>
  <c r="A4249" i="1"/>
  <c r="G4249" i="1"/>
  <c r="H4249" i="1"/>
  <c r="I4249" i="1"/>
  <c r="J4249" i="1"/>
  <c r="K4249" i="1"/>
  <c r="M4249" i="1"/>
  <c r="A2383" i="1"/>
  <c r="G2383" i="1"/>
  <c r="H2383" i="1"/>
  <c r="I2383" i="1"/>
  <c r="J2383" i="1"/>
  <c r="A3659" i="1"/>
  <c r="G3659" i="1"/>
  <c r="H3659" i="1"/>
  <c r="I3659" i="1"/>
  <c r="J3659" i="1"/>
  <c r="K3659" i="1"/>
  <c r="M3659" i="1"/>
  <c r="A1184" i="1"/>
  <c r="G1184" i="1"/>
  <c r="H1184" i="1"/>
  <c r="I1184" i="1"/>
  <c r="J1184" i="1"/>
  <c r="A1185" i="1"/>
  <c r="G1185" i="1"/>
  <c r="H1185" i="1"/>
  <c r="I1185" i="1"/>
  <c r="J1185" i="1"/>
  <c r="K1185" i="1"/>
  <c r="M1185" i="1"/>
  <c r="A1186" i="1"/>
  <c r="G1186" i="1"/>
  <c r="H1186" i="1"/>
  <c r="I1186" i="1"/>
  <c r="J1186" i="1"/>
  <c r="K1186" i="1"/>
  <c r="M1186" i="1"/>
  <c r="A4508" i="1"/>
  <c r="G4508" i="1"/>
  <c r="H4508" i="1"/>
  <c r="I4508" i="1"/>
  <c r="J4508" i="1"/>
  <c r="K4508" i="1"/>
  <c r="M4508" i="1"/>
  <c r="A1187" i="1"/>
  <c r="G1187" i="1"/>
  <c r="H1187" i="1"/>
  <c r="I1187" i="1"/>
  <c r="J1187" i="1"/>
  <c r="K1187" i="1"/>
  <c r="M1187" i="1"/>
  <c r="A3660" i="1"/>
  <c r="G3660" i="1"/>
  <c r="H3660" i="1"/>
  <c r="I3660" i="1"/>
  <c r="J3660" i="1"/>
  <c r="A1188" i="1"/>
  <c r="G1188" i="1"/>
  <c r="H1188" i="1"/>
  <c r="I1188" i="1"/>
  <c r="J1188" i="1"/>
  <c r="K1188" i="1"/>
  <c r="M1188" i="1"/>
  <c r="A1189" i="1"/>
  <c r="G1189" i="1"/>
  <c r="H1189" i="1"/>
  <c r="I1189" i="1"/>
  <c r="J1189" i="1"/>
  <c r="K1189" i="1"/>
  <c r="M1189" i="1"/>
  <c r="A3661" i="1"/>
  <c r="G3661" i="1"/>
  <c r="H3661" i="1"/>
  <c r="I3661" i="1"/>
  <c r="J3661" i="1"/>
  <c r="K3661" i="1"/>
  <c r="M3661" i="1"/>
  <c r="A3662" i="1"/>
  <c r="G3662" i="1"/>
  <c r="H3662" i="1"/>
  <c r="I3662" i="1"/>
  <c r="J3662" i="1"/>
  <c r="K3662" i="1"/>
  <c r="M3662" i="1"/>
  <c r="A1190" i="1"/>
  <c r="G1190" i="1"/>
  <c r="H1190" i="1"/>
  <c r="I1190" i="1"/>
  <c r="J1190" i="1"/>
  <c r="K1190" i="1"/>
  <c r="M1190" i="1"/>
  <c r="A106" i="1"/>
  <c r="G106" i="1"/>
  <c r="H106" i="1"/>
  <c r="I106" i="1"/>
  <c r="J106" i="1"/>
  <c r="K106" i="1"/>
  <c r="M106" i="1"/>
  <c r="A2384" i="1"/>
  <c r="G2384" i="1"/>
  <c r="H2384" i="1"/>
  <c r="I2384" i="1"/>
  <c r="J2384" i="1"/>
  <c r="K2384" i="1"/>
  <c r="M2384" i="1"/>
  <c r="A3663" i="1"/>
  <c r="G3663" i="1"/>
  <c r="H3663" i="1"/>
  <c r="I3663" i="1"/>
  <c r="J3663" i="1"/>
  <c r="K3663" i="1"/>
  <c r="M3663" i="1"/>
  <c r="A1191" i="1"/>
  <c r="G1191" i="1"/>
  <c r="H1191" i="1"/>
  <c r="I1191" i="1"/>
  <c r="J1191" i="1"/>
  <c r="K1191" i="1"/>
  <c r="M1191" i="1"/>
  <c r="A1192" i="1"/>
  <c r="G1192" i="1"/>
  <c r="H1192" i="1"/>
  <c r="I1192" i="1"/>
  <c r="J1192" i="1"/>
  <c r="M1192" i="1"/>
  <c r="A3664" i="1"/>
  <c r="G3664" i="1"/>
  <c r="H3664" i="1"/>
  <c r="I3664" i="1"/>
  <c r="J3664" i="1"/>
  <c r="K3664" i="1"/>
  <c r="M3664" i="1"/>
  <c r="A1193" i="1"/>
  <c r="G1193" i="1"/>
  <c r="H1193" i="1"/>
  <c r="I1193" i="1"/>
  <c r="J1193" i="1"/>
  <c r="M1193" i="1"/>
  <c r="A1194" i="1"/>
  <c r="G1194" i="1"/>
  <c r="H1194" i="1"/>
  <c r="I1194" i="1"/>
  <c r="J1194" i="1"/>
  <c r="K1194" i="1"/>
  <c r="M1194" i="1"/>
  <c r="A4509" i="1"/>
  <c r="G4509" i="1"/>
  <c r="H4509" i="1"/>
  <c r="I4509" i="1"/>
  <c r="J4509" i="1"/>
  <c r="M4509" i="1"/>
  <c r="A1195" i="1"/>
  <c r="G1195" i="1"/>
  <c r="H1195" i="1"/>
  <c r="I1195" i="1"/>
  <c r="J1195" i="1"/>
  <c r="K1195" i="1"/>
  <c r="M1195" i="1"/>
  <c r="A3665" i="1"/>
  <c r="G3665" i="1"/>
  <c r="H3665" i="1"/>
  <c r="I3665" i="1"/>
  <c r="J3665" i="1"/>
  <c r="K3665" i="1"/>
  <c r="M3665" i="1"/>
  <c r="A4734" i="1"/>
  <c r="G4734" i="1"/>
  <c r="H4734" i="1"/>
  <c r="I4734" i="1"/>
  <c r="J4734" i="1"/>
  <c r="M4734" i="1"/>
  <c r="A1196" i="1"/>
  <c r="G1196" i="1"/>
  <c r="H1196" i="1"/>
  <c r="I1196" i="1"/>
  <c r="J1196" i="1"/>
  <c r="K1196" i="1"/>
  <c r="M1196" i="1"/>
  <c r="A1197" i="1"/>
  <c r="G1197" i="1"/>
  <c r="H1197" i="1"/>
  <c r="I1197" i="1"/>
  <c r="J1197" i="1"/>
  <c r="K1197" i="1"/>
  <c r="M1197" i="1"/>
  <c r="A2385" i="1"/>
  <c r="G2385" i="1"/>
  <c r="H2385" i="1"/>
  <c r="I2385" i="1"/>
  <c r="J2385" i="1"/>
  <c r="K2385" i="1"/>
  <c r="M2385" i="1"/>
  <c r="A107" i="1"/>
  <c r="G107" i="1"/>
  <c r="H107" i="1"/>
  <c r="I107" i="1"/>
  <c r="J107" i="1"/>
  <c r="K107" i="1"/>
  <c r="M107" i="1"/>
  <c r="A2386" i="1"/>
  <c r="G2386" i="1"/>
  <c r="H2386" i="1"/>
  <c r="I2386" i="1"/>
  <c r="J2386" i="1"/>
  <c r="A1198" i="1"/>
  <c r="G1198" i="1"/>
  <c r="H1198" i="1"/>
  <c r="I1198" i="1"/>
  <c r="J1198" i="1"/>
  <c r="M1198" i="1"/>
  <c r="A1199" i="1"/>
  <c r="G1199" i="1"/>
  <c r="H1199" i="1"/>
  <c r="I1199" i="1"/>
  <c r="J1199" i="1"/>
  <c r="K1199" i="1"/>
  <c r="M1199" i="1"/>
  <c r="A1200" i="1"/>
  <c r="G1200" i="1"/>
  <c r="H1200" i="1"/>
  <c r="I1200" i="1"/>
  <c r="J1200" i="1"/>
  <c r="K1200" i="1"/>
  <c r="M1200" i="1"/>
  <c r="A3666" i="1"/>
  <c r="G3666" i="1"/>
  <c r="H3666" i="1"/>
  <c r="I3666" i="1"/>
  <c r="J3666" i="1"/>
  <c r="A1201" i="1"/>
  <c r="G1201" i="1"/>
  <c r="H1201" i="1"/>
  <c r="I1201" i="1"/>
  <c r="J1201" i="1"/>
  <c r="K1201" i="1"/>
  <c r="M1201" i="1"/>
  <c r="A2387" i="1"/>
  <c r="G2387" i="1"/>
  <c r="H2387" i="1"/>
  <c r="I2387" i="1"/>
  <c r="J2387" i="1"/>
  <c r="K2387" i="1"/>
  <c r="M2387" i="1"/>
  <c r="A1202" i="1"/>
  <c r="G1202" i="1"/>
  <c r="H1202" i="1"/>
  <c r="I1202" i="1"/>
  <c r="J1202" i="1"/>
  <c r="K1202" i="1"/>
  <c r="M1202" i="1"/>
  <c r="A3667" i="1"/>
  <c r="G3667" i="1"/>
  <c r="H3667" i="1"/>
  <c r="I3667" i="1"/>
  <c r="J3667" i="1"/>
  <c r="K3667" i="1"/>
  <c r="M3667" i="1"/>
  <c r="A4617" i="1"/>
  <c r="G4617" i="1"/>
  <c r="H4617" i="1"/>
  <c r="I4617" i="1"/>
  <c r="J4617" i="1"/>
  <c r="K4617" i="1"/>
  <c r="M4617" i="1"/>
  <c r="A2801" i="1"/>
  <c r="G2801" i="1"/>
  <c r="H2801" i="1"/>
  <c r="I2801" i="1"/>
  <c r="J2801" i="1"/>
  <c r="K2801" i="1"/>
  <c r="M2801" i="1"/>
  <c r="A2388" i="1"/>
  <c r="G2388" i="1"/>
  <c r="H2388" i="1"/>
  <c r="I2388" i="1"/>
  <c r="J2388" i="1"/>
  <c r="A4250" i="1"/>
  <c r="G4250" i="1"/>
  <c r="H4250" i="1"/>
  <c r="I4250" i="1"/>
  <c r="J4250" i="1"/>
  <c r="K4250" i="1"/>
  <c r="M4250" i="1"/>
  <c r="A1203" i="1"/>
  <c r="G1203" i="1"/>
  <c r="H1203" i="1"/>
  <c r="I1203" i="1"/>
  <c r="J1203" i="1"/>
  <c r="K1203" i="1"/>
  <c r="M1203" i="1"/>
  <c r="A2389" i="1"/>
  <c r="G2389" i="1"/>
  <c r="H2389" i="1"/>
  <c r="I2389" i="1"/>
  <c r="J2389" i="1"/>
  <c r="K2389" i="1"/>
  <c r="M2389" i="1"/>
  <c r="A2390" i="1"/>
  <c r="G2390" i="1"/>
  <c r="H2390" i="1"/>
  <c r="I2390" i="1"/>
  <c r="J2390" i="1"/>
  <c r="K2390" i="1"/>
  <c r="M2390" i="1"/>
  <c r="A3668" i="1"/>
  <c r="G3668" i="1"/>
  <c r="H3668" i="1"/>
  <c r="I3668" i="1"/>
  <c r="J3668" i="1"/>
  <c r="K3668" i="1"/>
  <c r="M3668" i="1"/>
  <c r="A1204" i="1"/>
  <c r="G1204" i="1"/>
  <c r="H1204" i="1"/>
  <c r="I1204" i="1"/>
  <c r="J1204" i="1"/>
  <c r="K1204" i="1"/>
  <c r="L1204" i="1"/>
  <c r="M1204" i="1"/>
  <c r="A1205" i="1"/>
  <c r="G1205" i="1"/>
  <c r="H1205" i="1"/>
  <c r="I1205" i="1"/>
  <c r="J1205" i="1"/>
  <c r="K1205" i="1"/>
  <c r="M1205" i="1"/>
  <c r="A4251" i="1"/>
  <c r="G4251" i="1"/>
  <c r="H4251" i="1"/>
  <c r="I4251" i="1"/>
  <c r="J4251" i="1"/>
  <c r="K4251" i="1"/>
  <c r="M4251" i="1"/>
  <c r="A4510" i="1"/>
  <c r="G4510" i="1"/>
  <c r="H4510" i="1"/>
  <c r="I4510" i="1"/>
  <c r="J4510" i="1"/>
  <c r="K4510" i="1"/>
  <c r="M4510" i="1"/>
  <c r="A3669" i="1"/>
  <c r="G3669" i="1"/>
  <c r="H3669" i="1"/>
  <c r="I3669" i="1"/>
  <c r="J3669" i="1"/>
  <c r="K3669" i="1"/>
  <c r="M3669" i="1"/>
  <c r="A3670" i="1"/>
  <c r="G3670" i="1"/>
  <c r="H3670" i="1"/>
  <c r="I3670" i="1"/>
  <c r="J3670" i="1"/>
  <c r="A4511" i="1"/>
  <c r="G4511" i="1"/>
  <c r="H4511" i="1"/>
  <c r="I4511" i="1"/>
  <c r="J4511" i="1"/>
  <c r="K4511" i="1"/>
  <c r="M4511" i="1"/>
  <c r="A2391" i="1"/>
  <c r="G2391" i="1"/>
  <c r="H2391" i="1"/>
  <c r="I2391" i="1"/>
  <c r="J2391" i="1"/>
  <c r="K2391" i="1"/>
  <c r="M2391" i="1"/>
  <c r="A3671" i="1"/>
  <c r="G3671" i="1"/>
  <c r="H3671" i="1"/>
  <c r="I3671" i="1"/>
  <c r="J3671" i="1"/>
  <c r="K3671" i="1"/>
  <c r="M3671" i="1"/>
  <c r="A1206" i="1"/>
  <c r="G1206" i="1"/>
  <c r="H1206" i="1"/>
  <c r="I1206" i="1"/>
  <c r="J1206" i="1"/>
  <c r="K1206" i="1"/>
  <c r="M1206" i="1"/>
  <c r="A3672" i="1"/>
  <c r="G3672" i="1"/>
  <c r="H3672" i="1"/>
  <c r="I3672" i="1"/>
  <c r="J3672" i="1"/>
  <c r="K3672" i="1"/>
  <c r="M3672" i="1"/>
  <c r="A3673" i="1"/>
  <c r="G3673" i="1"/>
  <c r="H3673" i="1"/>
  <c r="I3673" i="1"/>
  <c r="J3673" i="1"/>
  <c r="A3674" i="1"/>
  <c r="G3674" i="1"/>
  <c r="H3674" i="1"/>
  <c r="I3674" i="1"/>
  <c r="J3674" i="1"/>
  <c r="K3674" i="1"/>
  <c r="M3674" i="1"/>
  <c r="A3675" i="1"/>
  <c r="G3675" i="1"/>
  <c r="H3675" i="1"/>
  <c r="I3675" i="1"/>
  <c r="J3675" i="1"/>
  <c r="A3676" i="1"/>
  <c r="G3676" i="1"/>
  <c r="H3676" i="1"/>
  <c r="I3676" i="1"/>
  <c r="J3676" i="1"/>
  <c r="K3676" i="1"/>
  <c r="M3676" i="1"/>
  <c r="A1207" i="1"/>
  <c r="G1207" i="1"/>
  <c r="H1207" i="1"/>
  <c r="I1207" i="1"/>
  <c r="J1207" i="1"/>
  <c r="K1207" i="1"/>
  <c r="M1207" i="1"/>
  <c r="A2874" i="1"/>
  <c r="G2874" i="1"/>
  <c r="H2874" i="1"/>
  <c r="I2874" i="1"/>
  <c r="J2874" i="1"/>
  <c r="K2874" i="1"/>
  <c r="M2874" i="1"/>
  <c r="A3677" i="1"/>
  <c r="G3677" i="1"/>
  <c r="H3677" i="1"/>
  <c r="I3677" i="1"/>
  <c r="J3677" i="1"/>
  <c r="A2802" i="1"/>
  <c r="G2802" i="1"/>
  <c r="H2802" i="1"/>
  <c r="I2802" i="1"/>
  <c r="J2802" i="1"/>
  <c r="K2802" i="1"/>
  <c r="M2802" i="1"/>
  <c r="A1208" i="1"/>
  <c r="G1208" i="1"/>
  <c r="H1208" i="1"/>
  <c r="I1208" i="1"/>
  <c r="J1208" i="1"/>
  <c r="K1208" i="1"/>
  <c r="M1208" i="1"/>
  <c r="A3678" i="1"/>
  <c r="G3678" i="1"/>
  <c r="H3678" i="1"/>
  <c r="I3678" i="1"/>
  <c r="J3678" i="1"/>
  <c r="K3678" i="1"/>
  <c r="M3678" i="1"/>
  <c r="A1209" i="1"/>
  <c r="G1209" i="1"/>
  <c r="H1209" i="1"/>
  <c r="I1209" i="1"/>
  <c r="J1209" i="1"/>
  <c r="K1209" i="1"/>
  <c r="M1209" i="1"/>
  <c r="A3679" i="1"/>
  <c r="G3679" i="1"/>
  <c r="H3679" i="1"/>
  <c r="I3679" i="1"/>
  <c r="J3679" i="1"/>
  <c r="K3679" i="1"/>
  <c r="M3679" i="1"/>
  <c r="A2392" i="1"/>
  <c r="G2392" i="1"/>
  <c r="H2392" i="1"/>
  <c r="I2392" i="1"/>
  <c r="J2392" i="1"/>
  <c r="K2392" i="1"/>
  <c r="M2392" i="1"/>
  <c r="A3680" i="1"/>
  <c r="G3680" i="1"/>
  <c r="H3680" i="1"/>
  <c r="I3680" i="1"/>
  <c r="J3680" i="1"/>
  <c r="A3681" i="1"/>
  <c r="G3681" i="1"/>
  <c r="H3681" i="1"/>
  <c r="I3681" i="1"/>
  <c r="J3681" i="1"/>
  <c r="K3681" i="1"/>
  <c r="M3681" i="1"/>
  <c r="A1210" i="1"/>
  <c r="G1210" i="1"/>
  <c r="H1210" i="1"/>
  <c r="I1210" i="1"/>
  <c r="J1210" i="1"/>
  <c r="K1210" i="1"/>
  <c r="M1210" i="1"/>
  <c r="A1211" i="1"/>
  <c r="G1211" i="1"/>
  <c r="H1211" i="1"/>
  <c r="I1211" i="1"/>
  <c r="J1211" i="1"/>
  <c r="K1211" i="1"/>
  <c r="M1211" i="1"/>
  <c r="A1212" i="1"/>
  <c r="G1212" i="1"/>
  <c r="H1212" i="1"/>
  <c r="I1212" i="1"/>
  <c r="J1212" i="1"/>
  <c r="K1212" i="1"/>
  <c r="M1212" i="1"/>
  <c r="A2393" i="1"/>
  <c r="G2393" i="1"/>
  <c r="H2393" i="1"/>
  <c r="I2393" i="1"/>
  <c r="J2393" i="1"/>
  <c r="M2393" i="1"/>
  <c r="A3682" i="1"/>
  <c r="G3682" i="1"/>
  <c r="H3682" i="1"/>
  <c r="I3682" i="1"/>
  <c r="J3682" i="1"/>
  <c r="K3682" i="1"/>
  <c r="M3682" i="1"/>
  <c r="A4512" i="1"/>
  <c r="G4512" i="1"/>
  <c r="H4512" i="1"/>
  <c r="I4512" i="1"/>
  <c r="J4512" i="1"/>
  <c r="K4512" i="1"/>
  <c r="M4512" i="1"/>
  <c r="A3683" i="1"/>
  <c r="G3683" i="1"/>
  <c r="H3683" i="1"/>
  <c r="I3683" i="1"/>
  <c r="J3683" i="1"/>
  <c r="K3683" i="1"/>
  <c r="M3683" i="1"/>
  <c r="A3684" i="1"/>
  <c r="G3684" i="1"/>
  <c r="H3684" i="1"/>
  <c r="I3684" i="1"/>
  <c r="J3684" i="1"/>
  <c r="K3684" i="1"/>
  <c r="M3684" i="1"/>
  <c r="A3685" i="1"/>
  <c r="G3685" i="1"/>
  <c r="H3685" i="1"/>
  <c r="I3685" i="1"/>
  <c r="J3685" i="1"/>
  <c r="K3685" i="1"/>
  <c r="M3685" i="1"/>
  <c r="A2394" i="1"/>
  <c r="G2394" i="1"/>
  <c r="H2394" i="1"/>
  <c r="I2394" i="1"/>
  <c r="J2394" i="1"/>
  <c r="K2394" i="1"/>
  <c r="M2394" i="1"/>
  <c r="A1213" i="1"/>
  <c r="G1213" i="1"/>
  <c r="H1213" i="1"/>
  <c r="I1213" i="1"/>
  <c r="J1213" i="1"/>
  <c r="K1213" i="1"/>
  <c r="M1213" i="1"/>
  <c r="A3686" i="1"/>
  <c r="G3686" i="1"/>
  <c r="H3686" i="1"/>
  <c r="I3686" i="1"/>
  <c r="J3686" i="1"/>
  <c r="K3686" i="1"/>
  <c r="M3686" i="1"/>
  <c r="A4794" i="1"/>
  <c r="G4794" i="1"/>
  <c r="H4794" i="1"/>
  <c r="I4794" i="1"/>
  <c r="J4794" i="1"/>
  <c r="K4794" i="1"/>
  <c r="M4794" i="1"/>
  <c r="A3687" i="1"/>
  <c r="G3687" i="1"/>
  <c r="H3687" i="1"/>
  <c r="I3687" i="1"/>
  <c r="J3687" i="1"/>
  <c r="A3688" i="1"/>
  <c r="G3688" i="1"/>
  <c r="H3688" i="1"/>
  <c r="I3688" i="1"/>
  <c r="J3688" i="1"/>
  <c r="K3688" i="1"/>
  <c r="M3688" i="1"/>
  <c r="A1214" i="1"/>
  <c r="G1214" i="1"/>
  <c r="H1214" i="1"/>
  <c r="I1214" i="1"/>
  <c r="J1214" i="1"/>
  <c r="K1214" i="1"/>
  <c r="M1214" i="1"/>
  <c r="A2395" i="1"/>
  <c r="G2395" i="1"/>
  <c r="H2395" i="1"/>
  <c r="I2395" i="1"/>
  <c r="J2395" i="1"/>
  <c r="K2395" i="1"/>
  <c r="M2395" i="1"/>
  <c r="A3689" i="1"/>
  <c r="G3689" i="1"/>
  <c r="H3689" i="1"/>
  <c r="I3689" i="1"/>
  <c r="J3689" i="1"/>
  <c r="K3689" i="1"/>
  <c r="M3689" i="1"/>
  <c r="A2396" i="1"/>
  <c r="G2396" i="1"/>
  <c r="H2396" i="1"/>
  <c r="I2396" i="1"/>
  <c r="J2396" i="1"/>
  <c r="K2396" i="1"/>
  <c r="M2396" i="1"/>
  <c r="A4735" i="1"/>
  <c r="G4735" i="1"/>
  <c r="H4735" i="1"/>
  <c r="I4735" i="1"/>
  <c r="J4735" i="1"/>
  <c r="M4735" i="1"/>
  <c r="A3690" i="1"/>
  <c r="G3690" i="1"/>
  <c r="H3690" i="1"/>
  <c r="I3690" i="1"/>
  <c r="J3690" i="1"/>
  <c r="K3690" i="1"/>
  <c r="M3690" i="1"/>
  <c r="A1215" i="1"/>
  <c r="G1215" i="1"/>
  <c r="H1215" i="1"/>
  <c r="I1215" i="1"/>
  <c r="J1215" i="1"/>
  <c r="M1215" i="1"/>
  <c r="A2397" i="1"/>
  <c r="G2397" i="1"/>
  <c r="H2397" i="1"/>
  <c r="I2397" i="1"/>
  <c r="J2397" i="1"/>
  <c r="K2397" i="1"/>
  <c r="M2397" i="1"/>
  <c r="A4252" i="1"/>
  <c r="G4252" i="1"/>
  <c r="H4252" i="1"/>
  <c r="I4252" i="1"/>
  <c r="J4252" i="1"/>
  <c r="K4252" i="1"/>
  <c r="M4252" i="1"/>
  <c r="A1216" i="1"/>
  <c r="G1216" i="1"/>
  <c r="H1216" i="1"/>
  <c r="I1216" i="1"/>
  <c r="J1216" i="1"/>
  <c r="K1216" i="1"/>
  <c r="M1216" i="1"/>
  <c r="A1217" i="1"/>
  <c r="G1217" i="1"/>
  <c r="H1217" i="1"/>
  <c r="I1217" i="1"/>
  <c r="J1217" i="1"/>
  <c r="K1217" i="1"/>
  <c r="M1217" i="1"/>
  <c r="A1218" i="1"/>
  <c r="G1218" i="1"/>
  <c r="H1218" i="1"/>
  <c r="I1218" i="1"/>
  <c r="J1218" i="1"/>
  <c r="K1218" i="1"/>
  <c r="M1218" i="1"/>
  <c r="A1219" i="1"/>
  <c r="G1219" i="1"/>
  <c r="H1219" i="1"/>
  <c r="I1219" i="1"/>
  <c r="J1219" i="1"/>
  <c r="K1219" i="1"/>
  <c r="M1219" i="1"/>
  <c r="A3691" i="1"/>
  <c r="G3691" i="1"/>
  <c r="H3691" i="1"/>
  <c r="I3691" i="1"/>
  <c r="J3691" i="1"/>
  <c r="K3691" i="1"/>
  <c r="M3691" i="1"/>
  <c r="A4334" i="1"/>
  <c r="G4334" i="1"/>
  <c r="H4334" i="1"/>
  <c r="I4334" i="1"/>
  <c r="J4334" i="1"/>
  <c r="A1220" i="1"/>
  <c r="G1220" i="1"/>
  <c r="H1220" i="1"/>
  <c r="I1220" i="1"/>
  <c r="J1220" i="1"/>
  <c r="K1220" i="1"/>
  <c r="M1220" i="1"/>
  <c r="A108" i="1"/>
  <c r="G108" i="1"/>
  <c r="H108" i="1"/>
  <c r="I108" i="1"/>
  <c r="J108" i="1"/>
  <c r="K108" i="1"/>
  <c r="M108" i="1"/>
  <c r="A109" i="1"/>
  <c r="G109" i="1"/>
  <c r="H109" i="1"/>
  <c r="I109" i="1"/>
  <c r="J109" i="1"/>
  <c r="A1221" i="1"/>
  <c r="G1221" i="1"/>
  <c r="H1221" i="1"/>
  <c r="I1221" i="1"/>
  <c r="J1221" i="1"/>
  <c r="K1221" i="1"/>
  <c r="M1221" i="1"/>
  <c r="A4795" i="1"/>
  <c r="G4795" i="1"/>
  <c r="H4795" i="1"/>
  <c r="I4795" i="1"/>
  <c r="J4795" i="1"/>
  <c r="K4795" i="1"/>
  <c r="M4795" i="1"/>
  <c r="A1222" i="1"/>
  <c r="G1222" i="1"/>
  <c r="H1222" i="1"/>
  <c r="I1222" i="1"/>
  <c r="J1222" i="1"/>
  <c r="K1222" i="1"/>
  <c r="M1222" i="1"/>
  <c r="A4168" i="1"/>
  <c r="G4168" i="1"/>
  <c r="H4168" i="1"/>
  <c r="I4168" i="1"/>
  <c r="J4168" i="1"/>
  <c r="K4168" i="1"/>
  <c r="M4168" i="1"/>
  <c r="A1223" i="1"/>
  <c r="G1223" i="1"/>
  <c r="H1223" i="1"/>
  <c r="I1223" i="1"/>
  <c r="J1223" i="1"/>
  <c r="M1223" i="1"/>
  <c r="A1224" i="1"/>
  <c r="G1224" i="1"/>
  <c r="H1224" i="1"/>
  <c r="I1224" i="1"/>
  <c r="J1224" i="1"/>
  <c r="K1224" i="1"/>
  <c r="M1224" i="1"/>
  <c r="A1225" i="1"/>
  <c r="G1225" i="1"/>
  <c r="H1225" i="1"/>
  <c r="I1225" i="1"/>
  <c r="J1225" i="1"/>
  <c r="M1225" i="1"/>
  <c r="A2398" i="1"/>
  <c r="G2398" i="1"/>
  <c r="H2398" i="1"/>
  <c r="I2398" i="1"/>
  <c r="J2398" i="1"/>
  <c r="K2398" i="1"/>
  <c r="M2398" i="1"/>
  <c r="A4796" i="1"/>
  <c r="G4796" i="1"/>
  <c r="H4796" i="1"/>
  <c r="I4796" i="1"/>
  <c r="J4796" i="1"/>
  <c r="K4796" i="1"/>
  <c r="M4796" i="1"/>
  <c r="A1226" i="1"/>
  <c r="G1226" i="1"/>
  <c r="H1226" i="1"/>
  <c r="I1226" i="1"/>
  <c r="J1226" i="1"/>
  <c r="K1226" i="1"/>
  <c r="M1226" i="1"/>
  <c r="A4618" i="1"/>
  <c r="G4618" i="1"/>
  <c r="H4618" i="1"/>
  <c r="I4618" i="1"/>
  <c r="J4618" i="1"/>
  <c r="K4618" i="1"/>
  <c r="M4618" i="1"/>
  <c r="A4513" i="1"/>
  <c r="G4513" i="1"/>
  <c r="H4513" i="1"/>
  <c r="I4513" i="1"/>
  <c r="J4513" i="1"/>
  <c r="L4513" i="1"/>
  <c r="M4513" i="1"/>
  <c r="A3692" i="1"/>
  <c r="G3692" i="1"/>
  <c r="H3692" i="1"/>
  <c r="I3692" i="1"/>
  <c r="J3692" i="1"/>
  <c r="A2399" i="1"/>
  <c r="G2399" i="1"/>
  <c r="H2399" i="1"/>
  <c r="I2399" i="1"/>
  <c r="J2399" i="1"/>
  <c r="K2399" i="1"/>
  <c r="M2399" i="1"/>
  <c r="A1227" i="1"/>
  <c r="G1227" i="1"/>
  <c r="H1227" i="1"/>
  <c r="I1227" i="1"/>
  <c r="J1227" i="1"/>
  <c r="K1227" i="1"/>
  <c r="M1227" i="1"/>
  <c r="A4736" i="1"/>
  <c r="G4736" i="1"/>
  <c r="H4736" i="1"/>
  <c r="I4736" i="1"/>
  <c r="J4736" i="1"/>
  <c r="M4736" i="1"/>
  <c r="A110" i="1"/>
  <c r="G110" i="1"/>
  <c r="H110" i="1"/>
  <c r="I110" i="1"/>
  <c r="J110" i="1"/>
  <c r="A1228" i="1"/>
  <c r="G1228" i="1"/>
  <c r="H1228" i="1"/>
  <c r="I1228" i="1"/>
  <c r="J1228" i="1"/>
  <c r="K1228" i="1"/>
  <c r="M1228" i="1"/>
  <c r="A111" i="1"/>
  <c r="G111" i="1"/>
  <c r="H111" i="1"/>
  <c r="I111" i="1"/>
  <c r="J111" i="1"/>
  <c r="K111" i="1"/>
  <c r="M111" i="1"/>
  <c r="A4737" i="1"/>
  <c r="G4737" i="1"/>
  <c r="H4737" i="1"/>
  <c r="I4737" i="1"/>
  <c r="J4737" i="1"/>
  <c r="M4737" i="1"/>
  <c r="A2400" i="1"/>
  <c r="G2400" i="1"/>
  <c r="H2400" i="1"/>
  <c r="I2400" i="1"/>
  <c r="J2400" i="1"/>
  <c r="K2400" i="1"/>
  <c r="M2400" i="1"/>
  <c r="A2401" i="1"/>
  <c r="G2401" i="1"/>
  <c r="H2401" i="1"/>
  <c r="I2401" i="1"/>
  <c r="J2401" i="1"/>
  <c r="K2401" i="1"/>
  <c r="M2401" i="1"/>
  <c r="A1229" i="1"/>
  <c r="G1229" i="1"/>
  <c r="H1229" i="1"/>
  <c r="I1229" i="1"/>
  <c r="J1229" i="1"/>
  <c r="K1229" i="1"/>
  <c r="M1229" i="1"/>
  <c r="A4514" i="1"/>
  <c r="G4514" i="1"/>
  <c r="H4514" i="1"/>
  <c r="I4514" i="1"/>
  <c r="J4514" i="1"/>
  <c r="K4514" i="1"/>
  <c r="M4514" i="1"/>
  <c r="A1230" i="1"/>
  <c r="G1230" i="1"/>
  <c r="H1230" i="1"/>
  <c r="I1230" i="1"/>
  <c r="J1230" i="1"/>
  <c r="K1230" i="1"/>
  <c r="M1230" i="1"/>
  <c r="A1231" i="1"/>
  <c r="G1231" i="1"/>
  <c r="H1231" i="1"/>
  <c r="I1231" i="1"/>
  <c r="J1231" i="1"/>
  <c r="L1231" i="1"/>
  <c r="M1231" i="1"/>
  <c r="A1232" i="1"/>
  <c r="G1232" i="1"/>
  <c r="H1232" i="1"/>
  <c r="I1232" i="1"/>
  <c r="J1232" i="1"/>
  <c r="L1232" i="1"/>
  <c r="M1232" i="1"/>
  <c r="A4738" i="1"/>
  <c r="G4738" i="1"/>
  <c r="H4738" i="1"/>
  <c r="I4738" i="1"/>
  <c r="J4738" i="1"/>
  <c r="M4738" i="1"/>
  <c r="A3693" i="1"/>
  <c r="G3693" i="1"/>
  <c r="H3693" i="1"/>
  <c r="I3693" i="1"/>
  <c r="J3693" i="1"/>
  <c r="K3693" i="1"/>
  <c r="M3693" i="1"/>
  <c r="A3694" i="1"/>
  <c r="G3694" i="1"/>
  <c r="H3694" i="1"/>
  <c r="I3694" i="1"/>
  <c r="J3694" i="1"/>
  <c r="K3694" i="1"/>
  <c r="M3694" i="1"/>
  <c r="A3695" i="1"/>
  <c r="G3695" i="1"/>
  <c r="H3695" i="1"/>
  <c r="I3695" i="1"/>
  <c r="J3695" i="1"/>
  <c r="A112" i="1"/>
  <c r="G112" i="1"/>
  <c r="H112" i="1"/>
  <c r="I112" i="1"/>
  <c r="J112" i="1"/>
  <c r="K112" i="1"/>
  <c r="M112" i="1"/>
  <c r="A3696" i="1"/>
  <c r="G3696" i="1"/>
  <c r="H3696" i="1"/>
  <c r="I3696" i="1"/>
  <c r="J3696" i="1"/>
  <c r="A1233" i="1"/>
  <c r="G1233" i="1"/>
  <c r="H1233" i="1"/>
  <c r="I1233" i="1"/>
  <c r="J1233" i="1"/>
  <c r="K1233" i="1"/>
  <c r="M1233" i="1"/>
  <c r="A1234" i="1"/>
  <c r="G1234" i="1"/>
  <c r="H1234" i="1"/>
  <c r="I1234" i="1"/>
  <c r="J1234" i="1"/>
  <c r="K1234" i="1"/>
  <c r="M1234" i="1"/>
  <c r="A2402" i="1"/>
  <c r="G2402" i="1"/>
  <c r="H2402" i="1"/>
  <c r="I2402" i="1"/>
  <c r="J2402" i="1"/>
  <c r="K2402" i="1"/>
  <c r="M2402" i="1"/>
  <c r="A2875" i="1"/>
  <c r="G2875" i="1"/>
  <c r="H2875" i="1"/>
  <c r="I2875" i="1"/>
  <c r="J2875" i="1"/>
  <c r="K2875" i="1"/>
  <c r="M2875" i="1"/>
  <c r="A4253" i="1"/>
  <c r="G4253" i="1"/>
  <c r="H4253" i="1"/>
  <c r="I4253" i="1"/>
  <c r="J4253" i="1"/>
  <c r="A1235" i="1"/>
  <c r="G1235" i="1"/>
  <c r="H1235" i="1"/>
  <c r="I1235" i="1"/>
  <c r="J1235" i="1"/>
  <c r="K1235" i="1"/>
  <c r="M1235" i="1"/>
  <c r="A1236" i="1"/>
  <c r="G1236" i="1"/>
  <c r="H1236" i="1"/>
  <c r="I1236" i="1"/>
  <c r="J1236" i="1"/>
  <c r="K1236" i="1"/>
  <c r="M1236" i="1"/>
  <c r="A1237" i="1"/>
  <c r="G1237" i="1"/>
  <c r="H1237" i="1"/>
  <c r="I1237" i="1"/>
  <c r="J1237" i="1"/>
  <c r="K1237" i="1"/>
  <c r="M1237" i="1"/>
  <c r="A3697" i="1"/>
  <c r="G3697" i="1"/>
  <c r="H3697" i="1"/>
  <c r="I3697" i="1"/>
  <c r="J3697" i="1"/>
  <c r="K3697" i="1"/>
  <c r="L3697" i="1"/>
  <c r="M3697" i="1"/>
  <c r="A3698" i="1"/>
  <c r="G3698" i="1"/>
  <c r="H3698" i="1"/>
  <c r="I3698" i="1"/>
  <c r="J3698" i="1"/>
  <c r="A3699" i="1"/>
  <c r="G3699" i="1"/>
  <c r="H3699" i="1"/>
  <c r="I3699" i="1"/>
  <c r="J3699" i="1"/>
  <c r="A1238" i="1"/>
  <c r="G1238" i="1"/>
  <c r="H1238" i="1"/>
  <c r="I1238" i="1"/>
  <c r="J1238" i="1"/>
  <c r="K1238" i="1"/>
  <c r="M1238" i="1"/>
  <c r="A1239" i="1"/>
  <c r="G1239" i="1"/>
  <c r="H1239" i="1"/>
  <c r="I1239" i="1"/>
  <c r="J1239" i="1"/>
  <c r="K1239" i="1"/>
  <c r="M1239" i="1"/>
  <c r="A2403" i="1"/>
  <c r="G2403" i="1"/>
  <c r="H2403" i="1"/>
  <c r="I2403" i="1"/>
  <c r="J2403" i="1"/>
  <c r="A1240" i="1"/>
  <c r="G1240" i="1"/>
  <c r="H1240" i="1"/>
  <c r="I1240" i="1"/>
  <c r="J1240" i="1"/>
  <c r="L1240" i="1"/>
  <c r="M1240" i="1"/>
  <c r="A3700" i="1"/>
  <c r="G3700" i="1"/>
  <c r="H3700" i="1"/>
  <c r="I3700" i="1"/>
  <c r="J3700" i="1"/>
  <c r="A3701" i="1"/>
  <c r="G3701" i="1"/>
  <c r="H3701" i="1"/>
  <c r="I3701" i="1"/>
  <c r="J3701" i="1"/>
  <c r="K3701" i="1"/>
  <c r="M3701" i="1"/>
  <c r="A2803" i="1"/>
  <c r="G2803" i="1"/>
  <c r="H2803" i="1"/>
  <c r="I2803" i="1"/>
  <c r="J2803" i="1"/>
  <c r="K2803" i="1"/>
  <c r="M2803" i="1"/>
  <c r="A2404" i="1"/>
  <c r="G2404" i="1"/>
  <c r="H2404" i="1"/>
  <c r="I2404" i="1"/>
  <c r="J2404" i="1"/>
  <c r="K2404" i="1"/>
  <c r="M2404" i="1"/>
  <c r="A1241" i="1"/>
  <c r="G1241" i="1"/>
  <c r="H1241" i="1"/>
  <c r="I1241" i="1"/>
  <c r="J1241" i="1"/>
  <c r="L1241" i="1"/>
  <c r="M1241" i="1"/>
  <c r="A1242" i="1"/>
  <c r="G1242" i="1"/>
  <c r="H1242" i="1"/>
  <c r="I1242" i="1"/>
  <c r="J1242" i="1"/>
  <c r="L1242" i="1"/>
  <c r="M1242" i="1"/>
  <c r="A1243" i="1"/>
  <c r="G1243" i="1"/>
  <c r="H1243" i="1"/>
  <c r="I1243" i="1"/>
  <c r="J1243" i="1"/>
  <c r="K1243" i="1"/>
  <c r="M1243" i="1"/>
  <c r="A2405" i="1"/>
  <c r="G2405" i="1"/>
  <c r="H2405" i="1"/>
  <c r="I2405" i="1"/>
  <c r="J2405" i="1"/>
  <c r="K2405" i="1"/>
  <c r="M2405" i="1"/>
  <c r="A1244" i="1"/>
  <c r="G1244" i="1"/>
  <c r="H1244" i="1"/>
  <c r="I1244" i="1"/>
  <c r="J1244" i="1"/>
  <c r="K1244" i="1"/>
  <c r="M1244" i="1"/>
  <c r="A4169" i="1"/>
  <c r="G4169" i="1"/>
  <c r="H4169" i="1"/>
  <c r="I4169" i="1"/>
  <c r="J4169" i="1"/>
  <c r="K4169" i="1"/>
  <c r="M4169" i="1"/>
  <c r="A1245" i="1"/>
  <c r="G1245" i="1"/>
  <c r="H1245" i="1"/>
  <c r="I1245" i="1"/>
  <c r="J1245" i="1"/>
  <c r="M1245" i="1"/>
  <c r="A4515" i="1"/>
  <c r="G4515" i="1"/>
  <c r="H4515" i="1"/>
  <c r="I4515" i="1"/>
  <c r="J4515" i="1"/>
  <c r="K4515" i="1"/>
  <c r="M4515" i="1"/>
  <c r="A1246" i="1"/>
  <c r="G1246" i="1"/>
  <c r="H1246" i="1"/>
  <c r="I1246" i="1"/>
  <c r="J1246" i="1"/>
  <c r="K1246" i="1"/>
  <c r="M1246" i="1"/>
  <c r="A1247" i="1"/>
  <c r="G1247" i="1"/>
  <c r="H1247" i="1"/>
  <c r="I1247" i="1"/>
  <c r="J1247" i="1"/>
  <c r="K1247" i="1"/>
  <c r="M1247" i="1"/>
  <c r="A1248" i="1"/>
  <c r="G1248" i="1"/>
  <c r="H1248" i="1"/>
  <c r="I1248" i="1"/>
  <c r="J1248" i="1"/>
  <c r="K1248" i="1"/>
  <c r="M1248" i="1"/>
  <c r="A1249" i="1"/>
  <c r="G1249" i="1"/>
  <c r="H1249" i="1"/>
  <c r="I1249" i="1"/>
  <c r="J1249" i="1"/>
  <c r="K1249" i="1"/>
  <c r="M1249" i="1"/>
  <c r="A3702" i="1"/>
  <c r="G3702" i="1"/>
  <c r="H3702" i="1"/>
  <c r="I3702" i="1"/>
  <c r="J3702" i="1"/>
  <c r="K3702" i="1"/>
  <c r="M3702" i="1"/>
  <c r="A1250" i="1"/>
  <c r="G1250" i="1"/>
  <c r="H1250" i="1"/>
  <c r="I1250" i="1"/>
  <c r="J1250" i="1"/>
  <c r="K1250" i="1"/>
  <c r="L1250" i="1"/>
  <c r="M1250" i="1"/>
  <c r="A2406" i="1"/>
  <c r="G2406" i="1"/>
  <c r="H2406" i="1"/>
  <c r="I2406" i="1"/>
  <c r="J2406" i="1"/>
  <c r="K2406" i="1"/>
  <c r="M2406" i="1"/>
  <c r="A4516" i="1"/>
  <c r="G4516" i="1"/>
  <c r="H4516" i="1"/>
  <c r="I4516" i="1"/>
  <c r="J4516" i="1"/>
  <c r="M4516" i="1"/>
  <c r="A1251" i="1"/>
  <c r="G1251" i="1"/>
  <c r="H1251" i="1"/>
  <c r="I1251" i="1"/>
  <c r="J1251" i="1"/>
  <c r="K1251" i="1"/>
  <c r="M1251" i="1"/>
  <c r="A1252" i="1"/>
  <c r="G1252" i="1"/>
  <c r="H1252" i="1"/>
  <c r="I1252" i="1"/>
  <c r="J1252" i="1"/>
  <c r="K1252" i="1"/>
  <c r="M1252" i="1"/>
  <c r="A4739" i="1"/>
  <c r="G4739" i="1"/>
  <c r="H4739" i="1"/>
  <c r="I4739" i="1"/>
  <c r="J4739" i="1"/>
  <c r="M4739" i="1"/>
  <c r="A1253" i="1"/>
  <c r="G1253" i="1"/>
  <c r="H1253" i="1"/>
  <c r="I1253" i="1"/>
  <c r="J1253" i="1"/>
  <c r="K1253" i="1"/>
  <c r="M1253" i="1"/>
  <c r="A1254" i="1"/>
  <c r="G1254" i="1"/>
  <c r="H1254" i="1"/>
  <c r="I1254" i="1"/>
  <c r="J1254" i="1"/>
  <c r="L1254" i="1"/>
  <c r="M1254" i="1"/>
  <c r="A3703" i="1"/>
  <c r="G3703" i="1"/>
  <c r="H3703" i="1"/>
  <c r="I3703" i="1"/>
  <c r="J3703" i="1"/>
  <c r="A3704" i="1"/>
  <c r="G3704" i="1"/>
  <c r="H3704" i="1"/>
  <c r="I3704" i="1"/>
  <c r="J3704" i="1"/>
  <c r="K3704" i="1"/>
  <c r="M3704" i="1"/>
  <c r="A2407" i="1"/>
  <c r="G2407" i="1"/>
  <c r="H2407" i="1"/>
  <c r="I2407" i="1"/>
  <c r="J2407" i="1"/>
  <c r="K2407" i="1"/>
  <c r="M2407" i="1"/>
  <c r="A4517" i="1"/>
  <c r="G4517" i="1"/>
  <c r="H4517" i="1"/>
  <c r="I4517" i="1"/>
  <c r="J4517" i="1"/>
  <c r="K4517" i="1"/>
  <c r="M4517" i="1"/>
  <c r="A4518" i="1"/>
  <c r="G4518" i="1"/>
  <c r="H4518" i="1"/>
  <c r="I4518" i="1"/>
  <c r="J4518" i="1"/>
  <c r="K4518" i="1"/>
  <c r="M4518" i="1"/>
  <c r="A3705" i="1"/>
  <c r="G3705" i="1"/>
  <c r="H3705" i="1"/>
  <c r="I3705" i="1"/>
  <c r="J3705" i="1"/>
  <c r="K3705" i="1"/>
  <c r="M3705" i="1"/>
  <c r="A1255" i="1"/>
  <c r="G1255" i="1"/>
  <c r="H1255" i="1"/>
  <c r="I1255" i="1"/>
  <c r="J1255" i="1"/>
  <c r="K1255" i="1"/>
  <c r="M1255" i="1"/>
  <c r="A1256" i="1"/>
  <c r="G1256" i="1"/>
  <c r="H1256" i="1"/>
  <c r="I1256" i="1"/>
  <c r="J1256" i="1"/>
  <c r="K1256" i="1"/>
  <c r="M1256" i="1"/>
  <c r="A1257" i="1"/>
  <c r="G1257" i="1"/>
  <c r="H1257" i="1"/>
  <c r="I1257" i="1"/>
  <c r="J1257" i="1"/>
  <c r="M1257" i="1"/>
  <c r="A1258" i="1"/>
  <c r="G1258" i="1"/>
  <c r="H1258" i="1"/>
  <c r="I1258" i="1"/>
  <c r="J1258" i="1"/>
  <c r="M1258" i="1"/>
  <c r="A3706" i="1"/>
  <c r="G3706" i="1"/>
  <c r="H3706" i="1"/>
  <c r="I3706" i="1"/>
  <c r="J3706" i="1"/>
  <c r="K3706" i="1"/>
  <c r="M3706" i="1"/>
  <c r="A4519" i="1"/>
  <c r="G4519" i="1"/>
  <c r="H4519" i="1"/>
  <c r="I4519" i="1"/>
  <c r="J4519" i="1"/>
  <c r="K4519" i="1"/>
  <c r="M4519" i="1"/>
  <c r="A1259" i="1"/>
  <c r="G1259" i="1"/>
  <c r="H1259" i="1"/>
  <c r="I1259" i="1"/>
  <c r="J1259" i="1"/>
  <c r="M1259" i="1"/>
  <c r="A3707" i="1"/>
  <c r="G3707" i="1"/>
  <c r="H3707" i="1"/>
  <c r="I3707" i="1"/>
  <c r="J3707" i="1"/>
  <c r="A3708" i="1"/>
  <c r="G3708" i="1"/>
  <c r="H3708" i="1"/>
  <c r="I3708" i="1"/>
  <c r="J3708" i="1"/>
  <c r="A3709" i="1"/>
  <c r="G3709" i="1"/>
  <c r="H3709" i="1"/>
  <c r="I3709" i="1"/>
  <c r="J3709" i="1"/>
  <c r="K3709" i="1"/>
  <c r="M3709" i="1"/>
  <c r="A3710" i="1"/>
  <c r="G3710" i="1"/>
  <c r="H3710" i="1"/>
  <c r="I3710" i="1"/>
  <c r="J3710" i="1"/>
  <c r="A2408" i="1"/>
  <c r="G2408" i="1"/>
  <c r="H2408" i="1"/>
  <c r="I2408" i="1"/>
  <c r="J2408" i="1"/>
  <c r="A4797" i="1"/>
  <c r="G4797" i="1"/>
  <c r="H4797" i="1"/>
  <c r="I4797" i="1"/>
  <c r="J4797" i="1"/>
  <c r="K4797" i="1"/>
  <c r="M4797" i="1"/>
  <c r="A1260" i="1"/>
  <c r="G1260" i="1"/>
  <c r="H1260" i="1"/>
  <c r="I1260" i="1"/>
  <c r="J1260" i="1"/>
  <c r="K1260" i="1"/>
  <c r="M1260" i="1"/>
  <c r="A2409" i="1"/>
  <c r="G2409" i="1"/>
  <c r="H2409" i="1"/>
  <c r="I2409" i="1"/>
  <c r="J2409" i="1"/>
  <c r="K2409" i="1"/>
  <c r="M2409" i="1"/>
  <c r="A3711" i="1"/>
  <c r="G3711" i="1"/>
  <c r="H3711" i="1"/>
  <c r="I3711" i="1"/>
  <c r="J3711" i="1"/>
  <c r="K3711" i="1"/>
  <c r="M3711" i="1"/>
  <c r="A1261" i="1"/>
  <c r="G1261" i="1"/>
  <c r="H1261" i="1"/>
  <c r="I1261" i="1"/>
  <c r="J1261" i="1"/>
  <c r="M1261" i="1"/>
  <c r="A2410" i="1"/>
  <c r="G2410" i="1"/>
  <c r="H2410" i="1"/>
  <c r="I2410" i="1"/>
  <c r="J2410" i="1"/>
  <c r="K2410" i="1"/>
  <c r="M2410" i="1"/>
  <c r="A3712" i="1"/>
  <c r="G3712" i="1"/>
  <c r="H3712" i="1"/>
  <c r="I3712" i="1"/>
  <c r="J3712" i="1"/>
  <c r="K3712" i="1"/>
  <c r="M3712" i="1"/>
  <c r="A4520" i="1"/>
  <c r="G4520" i="1"/>
  <c r="H4520" i="1"/>
  <c r="I4520" i="1"/>
  <c r="J4520" i="1"/>
  <c r="M4520" i="1"/>
  <c r="A1262" i="1"/>
  <c r="G1262" i="1"/>
  <c r="H1262" i="1"/>
  <c r="I1262" i="1"/>
  <c r="J1262" i="1"/>
  <c r="K1262" i="1"/>
  <c r="M1262" i="1"/>
  <c r="A3713" i="1"/>
  <c r="G3713" i="1"/>
  <c r="H3713" i="1"/>
  <c r="I3713" i="1"/>
  <c r="J3713" i="1"/>
  <c r="A4798" i="1"/>
  <c r="G4798" i="1"/>
  <c r="H4798" i="1"/>
  <c r="I4798" i="1"/>
  <c r="J4798" i="1"/>
  <c r="K4798" i="1"/>
  <c r="M4798" i="1"/>
  <c r="A2411" i="1"/>
  <c r="G2411" i="1"/>
  <c r="H2411" i="1"/>
  <c r="I2411" i="1"/>
  <c r="J2411" i="1"/>
  <c r="A3714" i="1"/>
  <c r="G3714" i="1"/>
  <c r="H3714" i="1"/>
  <c r="I3714" i="1"/>
  <c r="J3714" i="1"/>
  <c r="A1263" i="1"/>
  <c r="G1263" i="1"/>
  <c r="H1263" i="1"/>
  <c r="I1263" i="1"/>
  <c r="J1263" i="1"/>
  <c r="K1263" i="1"/>
  <c r="M1263" i="1"/>
  <c r="A1264" i="1"/>
  <c r="G1264" i="1"/>
  <c r="H1264" i="1"/>
  <c r="I1264" i="1"/>
  <c r="J1264" i="1"/>
  <c r="K1264" i="1"/>
  <c r="M1264" i="1"/>
  <c r="A3715" i="1"/>
  <c r="G3715" i="1"/>
  <c r="H3715" i="1"/>
  <c r="I3715" i="1"/>
  <c r="J3715" i="1"/>
  <c r="K3715" i="1"/>
  <c r="M3715" i="1"/>
  <c r="A3716" i="1"/>
  <c r="G3716" i="1"/>
  <c r="H3716" i="1"/>
  <c r="I3716" i="1"/>
  <c r="J3716" i="1"/>
  <c r="K3716" i="1"/>
  <c r="M3716" i="1"/>
  <c r="A1265" i="1"/>
  <c r="G1265" i="1"/>
  <c r="H1265" i="1"/>
  <c r="I1265" i="1"/>
  <c r="J1265" i="1"/>
  <c r="K1265" i="1"/>
  <c r="M1265" i="1"/>
  <c r="A1266" i="1"/>
  <c r="G1266" i="1"/>
  <c r="H1266" i="1"/>
  <c r="I1266" i="1"/>
  <c r="J1266" i="1"/>
  <c r="K1266" i="1"/>
  <c r="M1266" i="1"/>
  <c r="A3717" i="1"/>
  <c r="G3717" i="1"/>
  <c r="H3717" i="1"/>
  <c r="I3717" i="1"/>
  <c r="J3717" i="1"/>
  <c r="A2412" i="1"/>
  <c r="G2412" i="1"/>
  <c r="H2412" i="1"/>
  <c r="I2412" i="1"/>
  <c r="J2412" i="1"/>
  <c r="K2412" i="1"/>
  <c r="M2412" i="1"/>
  <c r="A1267" i="1"/>
  <c r="G1267" i="1"/>
  <c r="H1267" i="1"/>
  <c r="I1267" i="1"/>
  <c r="J1267" i="1"/>
  <c r="K1267" i="1"/>
  <c r="M1267" i="1"/>
  <c r="A1268" i="1"/>
  <c r="G1268" i="1"/>
  <c r="H1268" i="1"/>
  <c r="I1268" i="1"/>
  <c r="J1268" i="1"/>
  <c r="K1268" i="1"/>
  <c r="M1268" i="1"/>
  <c r="A1269" i="1"/>
  <c r="G1269" i="1"/>
  <c r="H1269" i="1"/>
  <c r="I1269" i="1"/>
  <c r="J1269" i="1"/>
  <c r="K1269" i="1"/>
  <c r="M1269" i="1"/>
  <c r="A4254" i="1"/>
  <c r="G4254" i="1"/>
  <c r="H4254" i="1"/>
  <c r="I4254" i="1"/>
  <c r="J4254" i="1"/>
  <c r="K4254" i="1"/>
  <c r="M4254" i="1"/>
  <c r="A1270" i="1"/>
  <c r="G1270" i="1"/>
  <c r="H1270" i="1"/>
  <c r="I1270" i="1"/>
  <c r="J1270" i="1"/>
  <c r="K1270" i="1"/>
  <c r="M1270" i="1"/>
  <c r="A4521" i="1"/>
  <c r="G4521" i="1"/>
  <c r="H4521" i="1"/>
  <c r="I4521" i="1"/>
  <c r="J4521" i="1"/>
  <c r="M4521" i="1"/>
  <c r="A1271" i="1"/>
  <c r="G1271" i="1"/>
  <c r="H1271" i="1"/>
  <c r="I1271" i="1"/>
  <c r="J1271" i="1"/>
  <c r="K1271" i="1"/>
  <c r="M1271" i="1"/>
  <c r="A3718" i="1"/>
  <c r="G3718" i="1"/>
  <c r="H3718" i="1"/>
  <c r="I3718" i="1"/>
  <c r="J3718" i="1"/>
  <c r="A3719" i="1"/>
  <c r="G3719" i="1"/>
  <c r="H3719" i="1"/>
  <c r="I3719" i="1"/>
  <c r="J3719" i="1"/>
  <c r="K3719" i="1"/>
  <c r="M3719" i="1"/>
  <c r="A1272" i="1"/>
  <c r="G1272" i="1"/>
  <c r="H1272" i="1"/>
  <c r="I1272" i="1"/>
  <c r="J1272" i="1"/>
  <c r="K1272" i="1"/>
  <c r="M1272" i="1"/>
  <c r="A3720" i="1"/>
  <c r="G3720" i="1"/>
  <c r="H3720" i="1"/>
  <c r="I3720" i="1"/>
  <c r="J3720" i="1"/>
  <c r="K3720" i="1"/>
  <c r="M3720" i="1"/>
  <c r="A3721" i="1"/>
  <c r="G3721" i="1"/>
  <c r="H3721" i="1"/>
  <c r="I3721" i="1"/>
  <c r="J3721" i="1"/>
  <c r="A3722" i="1"/>
  <c r="G3722" i="1"/>
  <c r="H3722" i="1"/>
  <c r="I3722" i="1"/>
  <c r="J3722" i="1"/>
  <c r="K3722" i="1"/>
  <c r="M3722" i="1"/>
  <c r="A1273" i="1"/>
  <c r="G1273" i="1"/>
  <c r="H1273" i="1"/>
  <c r="I1273" i="1"/>
  <c r="J1273" i="1"/>
  <c r="M1273" i="1"/>
  <c r="A2413" i="1"/>
  <c r="G2413" i="1"/>
  <c r="H2413" i="1"/>
  <c r="I2413" i="1"/>
  <c r="J2413" i="1"/>
  <c r="A2414" i="1"/>
  <c r="G2414" i="1"/>
  <c r="H2414" i="1"/>
  <c r="I2414" i="1"/>
  <c r="J2414" i="1"/>
  <c r="K2414" i="1"/>
  <c r="M2414" i="1"/>
  <c r="A3723" i="1"/>
  <c r="G3723" i="1"/>
  <c r="H3723" i="1"/>
  <c r="I3723" i="1"/>
  <c r="J3723" i="1"/>
  <c r="K3723" i="1"/>
  <c r="M3723" i="1"/>
  <c r="A1274" i="1"/>
  <c r="G1274" i="1"/>
  <c r="H1274" i="1"/>
  <c r="I1274" i="1"/>
  <c r="J1274" i="1"/>
  <c r="K1274" i="1"/>
  <c r="M1274" i="1"/>
  <c r="A2415" i="1"/>
  <c r="G2415" i="1"/>
  <c r="H2415" i="1"/>
  <c r="I2415" i="1"/>
  <c r="J2415" i="1"/>
  <c r="K2415" i="1"/>
  <c r="M2415" i="1"/>
  <c r="A1275" i="1"/>
  <c r="G1275" i="1"/>
  <c r="H1275" i="1"/>
  <c r="I1275" i="1"/>
  <c r="J1275" i="1"/>
  <c r="M1275" i="1"/>
  <c r="A4799" i="1"/>
  <c r="G4799" i="1"/>
  <c r="H4799" i="1"/>
  <c r="I4799" i="1"/>
  <c r="J4799" i="1"/>
  <c r="K4799" i="1"/>
  <c r="M4799" i="1"/>
  <c r="A1276" i="1"/>
  <c r="G1276" i="1"/>
  <c r="H1276" i="1"/>
  <c r="I1276" i="1"/>
  <c r="J1276" i="1"/>
  <c r="K1276" i="1"/>
  <c r="M1276" i="1"/>
  <c r="A3724" i="1"/>
  <c r="G3724" i="1"/>
  <c r="H3724" i="1"/>
  <c r="I3724" i="1"/>
  <c r="J3724" i="1"/>
  <c r="K3724" i="1"/>
  <c r="M3724" i="1"/>
  <c r="A4522" i="1"/>
  <c r="G4522" i="1"/>
  <c r="H4522" i="1"/>
  <c r="I4522" i="1"/>
  <c r="J4522" i="1"/>
  <c r="K4522" i="1"/>
  <c r="M4522" i="1"/>
  <c r="A1277" i="1"/>
  <c r="G1277" i="1"/>
  <c r="H1277" i="1"/>
  <c r="I1277" i="1"/>
  <c r="J1277" i="1"/>
  <c r="M1277" i="1"/>
  <c r="A2416" i="1"/>
  <c r="G2416" i="1"/>
  <c r="H2416" i="1"/>
  <c r="I2416" i="1"/>
  <c r="J2416" i="1"/>
  <c r="K2416" i="1"/>
  <c r="M2416" i="1"/>
  <c r="A4619" i="1"/>
  <c r="G4619" i="1"/>
  <c r="H4619" i="1"/>
  <c r="I4619" i="1"/>
  <c r="J4619" i="1"/>
  <c r="A1278" i="1"/>
  <c r="G1278" i="1"/>
  <c r="H1278" i="1"/>
  <c r="I1278" i="1"/>
  <c r="J1278" i="1"/>
  <c r="K1278" i="1"/>
  <c r="M1278" i="1"/>
  <c r="A1279" i="1"/>
  <c r="G1279" i="1"/>
  <c r="H1279" i="1"/>
  <c r="I1279" i="1"/>
  <c r="J1279" i="1"/>
  <c r="K1279" i="1"/>
  <c r="M1279" i="1"/>
  <c r="A2417" i="1"/>
  <c r="G2417" i="1"/>
  <c r="H2417" i="1"/>
  <c r="I2417" i="1"/>
  <c r="J2417" i="1"/>
  <c r="K2417" i="1"/>
  <c r="M2417" i="1"/>
  <c r="A1280" i="1"/>
  <c r="G1280" i="1"/>
  <c r="H1280" i="1"/>
  <c r="I1280" i="1"/>
  <c r="J1280" i="1"/>
  <c r="K1280" i="1"/>
  <c r="M1280" i="1"/>
  <c r="A3725" i="1"/>
  <c r="G3725" i="1"/>
  <c r="H3725" i="1"/>
  <c r="I3725" i="1"/>
  <c r="J3725" i="1"/>
  <c r="K3725" i="1"/>
  <c r="M3725" i="1"/>
  <c r="A3726" i="1"/>
  <c r="G3726" i="1"/>
  <c r="H3726" i="1"/>
  <c r="I3726" i="1"/>
  <c r="J3726" i="1"/>
  <c r="A1281" i="1"/>
  <c r="G1281" i="1"/>
  <c r="H1281" i="1"/>
  <c r="I1281" i="1"/>
  <c r="J1281" i="1"/>
  <c r="M1281" i="1"/>
  <c r="A1282" i="1"/>
  <c r="G1282" i="1"/>
  <c r="H1282" i="1"/>
  <c r="I1282" i="1"/>
  <c r="J1282" i="1"/>
  <c r="K1282" i="1"/>
  <c r="M1282" i="1"/>
  <c r="A3727" i="1"/>
  <c r="G3727" i="1"/>
  <c r="H3727" i="1"/>
  <c r="I3727" i="1"/>
  <c r="J3727" i="1"/>
  <c r="K3727" i="1"/>
  <c r="M3727" i="1"/>
  <c r="A2418" i="1"/>
  <c r="G2418" i="1"/>
  <c r="H2418" i="1"/>
  <c r="I2418" i="1"/>
  <c r="J2418" i="1"/>
  <c r="A2419" i="1"/>
  <c r="G2419" i="1"/>
  <c r="H2419" i="1"/>
  <c r="I2419" i="1"/>
  <c r="J2419" i="1"/>
  <c r="K2419" i="1"/>
  <c r="M2419" i="1"/>
  <c r="A1283" i="1"/>
  <c r="G1283" i="1"/>
  <c r="H1283" i="1"/>
  <c r="I1283" i="1"/>
  <c r="J1283" i="1"/>
  <c r="K1283" i="1"/>
  <c r="M1283" i="1"/>
  <c r="A3728" i="1"/>
  <c r="G3728" i="1"/>
  <c r="H3728" i="1"/>
  <c r="I3728" i="1"/>
  <c r="J3728" i="1"/>
  <c r="A2420" i="1"/>
  <c r="G2420" i="1"/>
  <c r="H2420" i="1"/>
  <c r="I2420" i="1"/>
  <c r="J2420" i="1"/>
  <c r="K2420" i="1"/>
  <c r="M2420" i="1"/>
  <c r="A113" i="1"/>
  <c r="G113" i="1"/>
  <c r="H113" i="1"/>
  <c r="I113" i="1"/>
  <c r="J113" i="1"/>
  <c r="A1284" i="1"/>
  <c r="G1284" i="1"/>
  <c r="H1284" i="1"/>
  <c r="I1284" i="1"/>
  <c r="J1284" i="1"/>
  <c r="K1284" i="1"/>
  <c r="M1284" i="1"/>
  <c r="A3729" i="1"/>
  <c r="G3729" i="1"/>
  <c r="H3729" i="1"/>
  <c r="I3729" i="1"/>
  <c r="J3729" i="1"/>
  <c r="K3729" i="1"/>
  <c r="M3729" i="1"/>
  <c r="A1285" i="1"/>
  <c r="G1285" i="1"/>
  <c r="H1285" i="1"/>
  <c r="I1285" i="1"/>
  <c r="J1285" i="1"/>
  <c r="K1285" i="1"/>
  <c r="M1285" i="1"/>
  <c r="A2421" i="1"/>
  <c r="G2421" i="1"/>
  <c r="H2421" i="1"/>
  <c r="I2421" i="1"/>
  <c r="J2421" i="1"/>
  <c r="K2421" i="1"/>
  <c r="M2421" i="1"/>
  <c r="A1286" i="1"/>
  <c r="G1286" i="1"/>
  <c r="H1286" i="1"/>
  <c r="I1286" i="1"/>
  <c r="J1286" i="1"/>
  <c r="K1286" i="1"/>
  <c r="M1286" i="1"/>
  <c r="A3730" i="1"/>
  <c r="G3730" i="1"/>
  <c r="H3730" i="1"/>
  <c r="I3730" i="1"/>
  <c r="J3730" i="1"/>
  <c r="K3730" i="1"/>
  <c r="M3730" i="1"/>
  <c r="A1287" i="1"/>
  <c r="G1287" i="1"/>
  <c r="H1287" i="1"/>
  <c r="I1287" i="1"/>
  <c r="J1287" i="1"/>
  <c r="K1287" i="1"/>
  <c r="M1287" i="1"/>
  <c r="A3731" i="1"/>
  <c r="G3731" i="1"/>
  <c r="H3731" i="1"/>
  <c r="I3731" i="1"/>
  <c r="J3731" i="1"/>
  <c r="K3731" i="1"/>
  <c r="M3731" i="1"/>
  <c r="A3732" i="1"/>
  <c r="G3732" i="1"/>
  <c r="H3732" i="1"/>
  <c r="I3732" i="1"/>
  <c r="J3732" i="1"/>
  <c r="K3732" i="1"/>
  <c r="M3732" i="1"/>
  <c r="A4740" i="1"/>
  <c r="G4740" i="1"/>
  <c r="H4740" i="1"/>
  <c r="I4740" i="1"/>
  <c r="J4740" i="1"/>
  <c r="M4740" i="1"/>
  <c r="A2422" i="1"/>
  <c r="G2422" i="1"/>
  <c r="H2422" i="1"/>
  <c r="I2422" i="1"/>
  <c r="J2422" i="1"/>
  <c r="A2423" i="1"/>
  <c r="G2423" i="1"/>
  <c r="H2423" i="1"/>
  <c r="I2423" i="1"/>
  <c r="J2423" i="1"/>
  <c r="K2423" i="1"/>
  <c r="M2423" i="1"/>
  <c r="A2424" i="1"/>
  <c r="G2424" i="1"/>
  <c r="H2424" i="1"/>
  <c r="I2424" i="1"/>
  <c r="J2424" i="1"/>
  <c r="K2424" i="1"/>
  <c r="M2424" i="1"/>
  <c r="A1288" i="1"/>
  <c r="G1288" i="1"/>
  <c r="H1288" i="1"/>
  <c r="I1288" i="1"/>
  <c r="J1288" i="1"/>
  <c r="M1288" i="1"/>
  <c r="A3733" i="1"/>
  <c r="G3733" i="1"/>
  <c r="H3733" i="1"/>
  <c r="I3733" i="1"/>
  <c r="J3733" i="1"/>
  <c r="A3734" i="1"/>
  <c r="G3734" i="1"/>
  <c r="H3734" i="1"/>
  <c r="I3734" i="1"/>
  <c r="J3734" i="1"/>
  <c r="A4523" i="1"/>
  <c r="G4523" i="1"/>
  <c r="H4523" i="1"/>
  <c r="I4523" i="1"/>
  <c r="J4523" i="1"/>
  <c r="M4523" i="1"/>
  <c r="A1289" i="1"/>
  <c r="G1289" i="1"/>
  <c r="H1289" i="1"/>
  <c r="I1289" i="1"/>
  <c r="J1289" i="1"/>
  <c r="K1289" i="1"/>
  <c r="M1289" i="1"/>
  <c r="A4524" i="1"/>
  <c r="G4524" i="1"/>
  <c r="H4524" i="1"/>
  <c r="I4524" i="1"/>
  <c r="J4524" i="1"/>
  <c r="K4524" i="1"/>
  <c r="M4524" i="1"/>
  <c r="A2425" i="1"/>
  <c r="G2425" i="1"/>
  <c r="H2425" i="1"/>
  <c r="I2425" i="1"/>
  <c r="J2425" i="1"/>
  <c r="A1290" i="1"/>
  <c r="G1290" i="1"/>
  <c r="H1290" i="1"/>
  <c r="I1290" i="1"/>
  <c r="J1290" i="1"/>
  <c r="K1290" i="1"/>
  <c r="M1290" i="1"/>
  <c r="A1291" i="1"/>
  <c r="G1291" i="1"/>
  <c r="H1291" i="1"/>
  <c r="I1291" i="1"/>
  <c r="J1291" i="1"/>
  <c r="K1291" i="1"/>
  <c r="M1291" i="1"/>
  <c r="A4255" i="1"/>
  <c r="G4255" i="1"/>
  <c r="H4255" i="1"/>
  <c r="I4255" i="1"/>
  <c r="J4255" i="1"/>
  <c r="K4255" i="1"/>
  <c r="M4255" i="1"/>
  <c r="A2426" i="1"/>
  <c r="G2426" i="1"/>
  <c r="H2426" i="1"/>
  <c r="I2426" i="1"/>
  <c r="J2426" i="1"/>
  <c r="K2426" i="1"/>
  <c r="M2426" i="1"/>
  <c r="A3735" i="1"/>
  <c r="G3735" i="1"/>
  <c r="H3735" i="1"/>
  <c r="I3735" i="1"/>
  <c r="J3735" i="1"/>
  <c r="K3735" i="1"/>
  <c r="M3735" i="1"/>
  <c r="A3736" i="1"/>
  <c r="G3736" i="1"/>
  <c r="H3736" i="1"/>
  <c r="I3736" i="1"/>
  <c r="J3736" i="1"/>
  <c r="A1292" i="1"/>
  <c r="G1292" i="1"/>
  <c r="H1292" i="1"/>
  <c r="I1292" i="1"/>
  <c r="J1292" i="1"/>
  <c r="K1292" i="1"/>
  <c r="M1292" i="1"/>
  <c r="A3737" i="1"/>
  <c r="G3737" i="1"/>
  <c r="H3737" i="1"/>
  <c r="I3737" i="1"/>
  <c r="J3737" i="1"/>
  <c r="A1293" i="1"/>
  <c r="G1293" i="1"/>
  <c r="H1293" i="1"/>
  <c r="I1293" i="1"/>
  <c r="J1293" i="1"/>
  <c r="K1293" i="1"/>
  <c r="L1293" i="1"/>
  <c r="M1293" i="1"/>
  <c r="A1294" i="1"/>
  <c r="G1294" i="1"/>
  <c r="H1294" i="1"/>
  <c r="I1294" i="1"/>
  <c r="J1294" i="1"/>
  <c r="K1294" i="1"/>
  <c r="M1294" i="1"/>
  <c r="A4741" i="1"/>
  <c r="G4741" i="1"/>
  <c r="H4741" i="1"/>
  <c r="I4741" i="1"/>
  <c r="J4741" i="1"/>
  <c r="M4741" i="1"/>
  <c r="A114" i="1"/>
  <c r="G114" i="1"/>
  <c r="H114" i="1"/>
  <c r="I114" i="1"/>
  <c r="J114" i="1"/>
  <c r="K114" i="1"/>
  <c r="M114" i="1"/>
  <c r="A1295" i="1"/>
  <c r="G1295" i="1"/>
  <c r="H1295" i="1"/>
  <c r="I1295" i="1"/>
  <c r="J1295" i="1"/>
  <c r="K1295" i="1"/>
  <c r="L1295" i="1"/>
  <c r="M1295" i="1"/>
  <c r="A3738" i="1"/>
  <c r="G3738" i="1"/>
  <c r="H3738" i="1"/>
  <c r="I3738" i="1"/>
  <c r="J3738" i="1"/>
  <c r="K3738" i="1"/>
  <c r="M3738" i="1"/>
  <c r="A115" i="1"/>
  <c r="G115" i="1"/>
  <c r="H115" i="1"/>
  <c r="I115" i="1"/>
  <c r="J115" i="1"/>
  <c r="K115" i="1"/>
  <c r="M115" i="1"/>
  <c r="A3739" i="1"/>
  <c r="G3739" i="1"/>
  <c r="H3739" i="1"/>
  <c r="I3739" i="1"/>
  <c r="J3739" i="1"/>
  <c r="K3739" i="1"/>
  <c r="M3739" i="1"/>
  <c r="A1296" i="1"/>
  <c r="G1296" i="1"/>
  <c r="H1296" i="1"/>
  <c r="I1296" i="1"/>
  <c r="J1296" i="1"/>
  <c r="K1296" i="1"/>
  <c r="M1296" i="1"/>
  <c r="A2427" i="1"/>
  <c r="G2427" i="1"/>
  <c r="H2427" i="1"/>
  <c r="I2427" i="1"/>
  <c r="J2427" i="1"/>
  <c r="K2427" i="1"/>
  <c r="M2427" i="1"/>
  <c r="A3740" i="1"/>
  <c r="G3740" i="1"/>
  <c r="H3740" i="1"/>
  <c r="I3740" i="1"/>
  <c r="J3740" i="1"/>
  <c r="K3740" i="1"/>
  <c r="M3740" i="1"/>
  <c r="A3741" i="1"/>
  <c r="G3741" i="1"/>
  <c r="H3741" i="1"/>
  <c r="I3741" i="1"/>
  <c r="J3741" i="1"/>
  <c r="A2428" i="1"/>
  <c r="G2428" i="1"/>
  <c r="H2428" i="1"/>
  <c r="I2428" i="1"/>
  <c r="J2428" i="1"/>
  <c r="K2428" i="1"/>
  <c r="M2428" i="1"/>
  <c r="A4742" i="1"/>
  <c r="G4742" i="1"/>
  <c r="H4742" i="1"/>
  <c r="I4742" i="1"/>
  <c r="J4742" i="1"/>
  <c r="M4742" i="1"/>
  <c r="A1297" i="1"/>
  <c r="G1297" i="1"/>
  <c r="H1297" i="1"/>
  <c r="I1297" i="1"/>
  <c r="J1297" i="1"/>
  <c r="K1297" i="1"/>
  <c r="M1297" i="1"/>
  <c r="A4256" i="1"/>
  <c r="G4256" i="1"/>
  <c r="H4256" i="1"/>
  <c r="I4256" i="1"/>
  <c r="J4256" i="1"/>
  <c r="A1298" i="1"/>
  <c r="G1298" i="1"/>
  <c r="H1298" i="1"/>
  <c r="I1298" i="1"/>
  <c r="J1298" i="1"/>
  <c r="K1298" i="1"/>
  <c r="M1298" i="1"/>
  <c r="A3742" i="1"/>
  <c r="G3742" i="1"/>
  <c r="H3742" i="1"/>
  <c r="I3742" i="1"/>
  <c r="J3742" i="1"/>
  <c r="K3742" i="1"/>
  <c r="M3742" i="1"/>
  <c r="A4743" i="1"/>
  <c r="G4743" i="1"/>
  <c r="H4743" i="1"/>
  <c r="I4743" i="1"/>
  <c r="J4743" i="1"/>
  <c r="M4743" i="1"/>
  <c r="A116" i="1"/>
  <c r="G116" i="1"/>
  <c r="H116" i="1"/>
  <c r="I116" i="1"/>
  <c r="J116" i="1"/>
  <c r="A2429" i="1"/>
  <c r="G2429" i="1"/>
  <c r="H2429" i="1"/>
  <c r="I2429" i="1"/>
  <c r="J2429" i="1"/>
  <c r="K2429" i="1"/>
  <c r="M2429" i="1"/>
  <c r="A3743" i="1"/>
  <c r="G3743" i="1"/>
  <c r="H3743" i="1"/>
  <c r="I3743" i="1"/>
  <c r="J3743" i="1"/>
  <c r="K3743" i="1"/>
  <c r="M3743" i="1"/>
  <c r="A3744" i="1"/>
  <c r="G3744" i="1"/>
  <c r="H3744" i="1"/>
  <c r="I3744" i="1"/>
  <c r="J3744" i="1"/>
  <c r="A3745" i="1"/>
  <c r="G3745" i="1"/>
  <c r="H3745" i="1"/>
  <c r="I3745" i="1"/>
  <c r="J3745" i="1"/>
  <c r="A2430" i="1"/>
  <c r="G2430" i="1"/>
  <c r="H2430" i="1"/>
  <c r="I2430" i="1"/>
  <c r="J2430" i="1"/>
  <c r="K2430" i="1"/>
  <c r="M2430" i="1"/>
  <c r="A4525" i="1"/>
  <c r="G4525" i="1"/>
  <c r="H4525" i="1"/>
  <c r="I4525" i="1"/>
  <c r="J4525" i="1"/>
  <c r="M4525" i="1"/>
  <c r="A4257" i="1"/>
  <c r="G4257" i="1"/>
  <c r="H4257" i="1"/>
  <c r="I4257" i="1"/>
  <c r="J4257" i="1"/>
  <c r="K4257" i="1"/>
  <c r="M4257" i="1"/>
  <c r="A117" i="1"/>
  <c r="G117" i="1"/>
  <c r="H117" i="1"/>
  <c r="I117" i="1"/>
  <c r="J117" i="1"/>
  <c r="K117" i="1"/>
  <c r="M117" i="1"/>
  <c r="A1299" i="1"/>
  <c r="G1299" i="1"/>
  <c r="H1299" i="1"/>
  <c r="I1299" i="1"/>
  <c r="J1299" i="1"/>
  <c r="K1299" i="1"/>
  <c r="M1299" i="1"/>
  <c r="A2431" i="1"/>
  <c r="G2431" i="1"/>
  <c r="H2431" i="1"/>
  <c r="I2431" i="1"/>
  <c r="J2431" i="1"/>
  <c r="A2432" i="1"/>
  <c r="G2432" i="1"/>
  <c r="H2432" i="1"/>
  <c r="I2432" i="1"/>
  <c r="J2432" i="1"/>
  <c r="K2432" i="1"/>
  <c r="M2432" i="1"/>
  <c r="A4258" i="1"/>
  <c r="G4258" i="1"/>
  <c r="H4258" i="1"/>
  <c r="I4258" i="1"/>
  <c r="J4258" i="1"/>
  <c r="K4258" i="1"/>
  <c r="M4258" i="1"/>
  <c r="A2433" i="1"/>
  <c r="G2433" i="1"/>
  <c r="H2433" i="1"/>
  <c r="I2433" i="1"/>
  <c r="J2433" i="1"/>
  <c r="K2433" i="1"/>
  <c r="M2433" i="1"/>
  <c r="A2434" i="1"/>
  <c r="G2434" i="1"/>
  <c r="H2434" i="1"/>
  <c r="I2434" i="1"/>
  <c r="J2434" i="1"/>
  <c r="A1300" i="1"/>
  <c r="G1300" i="1"/>
  <c r="H1300" i="1"/>
  <c r="I1300" i="1"/>
  <c r="J1300" i="1"/>
  <c r="L1300" i="1"/>
  <c r="M1300" i="1"/>
  <c r="A1301" i="1"/>
  <c r="G1301" i="1"/>
  <c r="H1301" i="1"/>
  <c r="I1301" i="1"/>
  <c r="J1301" i="1"/>
  <c r="K1301" i="1"/>
  <c r="M1301" i="1"/>
  <c r="A2804" i="1"/>
  <c r="G2804" i="1"/>
  <c r="H2804" i="1"/>
  <c r="I2804" i="1"/>
  <c r="J2804" i="1"/>
  <c r="K2804" i="1"/>
  <c r="M2804" i="1"/>
  <c r="A1302" i="1"/>
  <c r="G1302" i="1"/>
  <c r="H1302" i="1"/>
  <c r="I1302" i="1"/>
  <c r="J1302" i="1"/>
  <c r="K1302" i="1"/>
  <c r="M1302" i="1"/>
  <c r="A2435" i="1"/>
  <c r="G2435" i="1"/>
  <c r="H2435" i="1"/>
  <c r="I2435" i="1"/>
  <c r="J2435" i="1"/>
  <c r="K2435" i="1"/>
  <c r="M2435" i="1"/>
  <c r="A1303" i="1"/>
  <c r="G1303" i="1"/>
  <c r="H1303" i="1"/>
  <c r="I1303" i="1"/>
  <c r="J1303" i="1"/>
  <c r="K1303" i="1"/>
  <c r="M1303" i="1"/>
  <c r="A1304" i="1"/>
  <c r="G1304" i="1"/>
  <c r="H1304" i="1"/>
  <c r="I1304" i="1"/>
  <c r="J1304" i="1"/>
  <c r="K1304" i="1"/>
  <c r="L1304" i="1"/>
  <c r="M1304" i="1"/>
  <c r="A1305" i="1"/>
  <c r="G1305" i="1"/>
  <c r="H1305" i="1"/>
  <c r="I1305" i="1"/>
  <c r="J1305" i="1"/>
  <c r="K1305" i="1"/>
  <c r="M1305" i="1"/>
  <c r="A4744" i="1"/>
  <c r="G4744" i="1"/>
  <c r="H4744" i="1"/>
  <c r="I4744" i="1"/>
  <c r="J4744" i="1"/>
  <c r="M4744" i="1"/>
  <c r="A1306" i="1"/>
  <c r="G1306" i="1"/>
  <c r="H1306" i="1"/>
  <c r="I1306" i="1"/>
  <c r="J1306" i="1"/>
  <c r="K1306" i="1"/>
  <c r="M1306" i="1"/>
  <c r="A2876" i="1"/>
  <c r="G2876" i="1"/>
  <c r="H2876" i="1"/>
  <c r="I2876" i="1"/>
  <c r="J2876" i="1"/>
  <c r="K2876" i="1"/>
  <c r="M2876" i="1"/>
  <c r="A1307" i="1"/>
  <c r="G1307" i="1"/>
  <c r="H1307" i="1"/>
  <c r="I1307" i="1"/>
  <c r="J1307" i="1"/>
  <c r="L1307" i="1"/>
  <c r="M1307" i="1"/>
  <c r="A2436" i="1"/>
  <c r="G2436" i="1"/>
  <c r="H2436" i="1"/>
  <c r="I2436" i="1"/>
  <c r="J2436" i="1"/>
  <c r="A2805" i="1"/>
  <c r="G2805" i="1"/>
  <c r="H2805" i="1"/>
  <c r="I2805" i="1"/>
  <c r="J2805" i="1"/>
  <c r="K2805" i="1"/>
  <c r="M2805" i="1"/>
  <c r="A1308" i="1"/>
  <c r="G1308" i="1"/>
  <c r="H1308" i="1"/>
  <c r="I1308" i="1"/>
  <c r="J1308" i="1"/>
  <c r="K1308" i="1"/>
  <c r="M1308" i="1"/>
  <c r="A4745" i="1"/>
  <c r="G4745" i="1"/>
  <c r="H4745" i="1"/>
  <c r="I4745" i="1"/>
  <c r="J4745" i="1"/>
  <c r="M4745" i="1"/>
  <c r="A1309" i="1"/>
  <c r="G1309" i="1"/>
  <c r="H1309" i="1"/>
  <c r="I1309" i="1"/>
  <c r="J1309" i="1"/>
  <c r="A2806" i="1"/>
  <c r="G2806" i="1"/>
  <c r="H2806" i="1"/>
  <c r="I2806" i="1"/>
  <c r="J2806" i="1"/>
  <c r="K2806" i="1"/>
  <c r="M2806" i="1"/>
  <c r="A1310" i="1"/>
  <c r="G1310" i="1"/>
  <c r="H1310" i="1"/>
  <c r="I1310" i="1"/>
  <c r="J1310" i="1"/>
  <c r="K1310" i="1"/>
  <c r="M1310" i="1"/>
  <c r="A2437" i="1"/>
  <c r="G2437" i="1"/>
  <c r="H2437" i="1"/>
  <c r="I2437" i="1"/>
  <c r="J2437" i="1"/>
  <c r="A4746" i="1"/>
  <c r="G4746" i="1"/>
  <c r="H4746" i="1"/>
  <c r="I4746" i="1"/>
  <c r="J4746" i="1"/>
  <c r="M4746" i="1"/>
  <c r="A2438" i="1"/>
  <c r="G2438" i="1"/>
  <c r="H2438" i="1"/>
  <c r="I2438" i="1"/>
  <c r="J2438" i="1"/>
  <c r="K2438" i="1"/>
  <c r="M2438" i="1"/>
  <c r="A2439" i="1"/>
  <c r="G2439" i="1"/>
  <c r="H2439" i="1"/>
  <c r="I2439" i="1"/>
  <c r="J2439" i="1"/>
  <c r="K2439" i="1"/>
  <c r="M2439" i="1"/>
  <c r="A118" i="1"/>
  <c r="G118" i="1"/>
  <c r="H118" i="1"/>
  <c r="I118" i="1"/>
  <c r="J118" i="1"/>
  <c r="K118" i="1"/>
  <c r="M118" i="1"/>
  <c r="A1311" i="1"/>
  <c r="G1311" i="1"/>
  <c r="H1311" i="1"/>
  <c r="I1311" i="1"/>
  <c r="J1311" i="1"/>
  <c r="K1311" i="1"/>
  <c r="M1311" i="1"/>
  <c r="A119" i="1"/>
  <c r="G119" i="1"/>
  <c r="H119" i="1"/>
  <c r="I119" i="1"/>
  <c r="J119" i="1"/>
  <c r="K119" i="1"/>
  <c r="M119" i="1"/>
  <c r="A1312" i="1"/>
  <c r="G1312" i="1"/>
  <c r="H1312" i="1"/>
  <c r="I1312" i="1"/>
  <c r="J1312" i="1"/>
  <c r="M1312" i="1"/>
  <c r="A3746" i="1"/>
  <c r="G3746" i="1"/>
  <c r="H3746" i="1"/>
  <c r="I3746" i="1"/>
  <c r="J3746" i="1"/>
  <c r="A1313" i="1"/>
  <c r="G1313" i="1"/>
  <c r="H1313" i="1"/>
  <c r="I1313" i="1"/>
  <c r="J1313" i="1"/>
  <c r="K1313" i="1"/>
  <c r="M1313" i="1"/>
  <c r="A2440" i="1"/>
  <c r="G2440" i="1"/>
  <c r="H2440" i="1"/>
  <c r="I2440" i="1"/>
  <c r="J2440" i="1"/>
  <c r="A2441" i="1"/>
  <c r="G2441" i="1"/>
  <c r="H2441" i="1"/>
  <c r="I2441" i="1"/>
  <c r="J2441" i="1"/>
  <c r="A2877" i="1"/>
  <c r="G2877" i="1"/>
  <c r="H2877" i="1"/>
  <c r="I2877" i="1"/>
  <c r="J2877" i="1"/>
  <c r="K2877" i="1"/>
  <c r="M2877" i="1"/>
  <c r="A2442" i="1"/>
  <c r="G2442" i="1"/>
  <c r="H2442" i="1"/>
  <c r="I2442" i="1"/>
  <c r="J2442" i="1"/>
  <c r="K2442" i="1"/>
  <c r="M2442" i="1"/>
  <c r="A3747" i="1"/>
  <c r="G3747" i="1"/>
  <c r="H3747" i="1"/>
  <c r="I3747" i="1"/>
  <c r="J3747" i="1"/>
  <c r="A3748" i="1"/>
  <c r="G3748" i="1"/>
  <c r="H3748" i="1"/>
  <c r="I3748" i="1"/>
  <c r="J3748" i="1"/>
  <c r="A3749" i="1"/>
  <c r="G3749" i="1"/>
  <c r="H3749" i="1"/>
  <c r="I3749" i="1"/>
  <c r="J3749" i="1"/>
  <c r="A1314" i="1"/>
  <c r="G1314" i="1"/>
  <c r="H1314" i="1"/>
  <c r="I1314" i="1"/>
  <c r="J1314" i="1"/>
  <c r="K1314" i="1"/>
  <c r="M1314" i="1"/>
  <c r="A1315" i="1"/>
  <c r="G1315" i="1"/>
  <c r="H1315" i="1"/>
  <c r="I1315" i="1"/>
  <c r="J1315" i="1"/>
  <c r="M1315" i="1"/>
  <c r="A2443" i="1"/>
  <c r="G2443" i="1"/>
  <c r="H2443" i="1"/>
  <c r="I2443" i="1"/>
  <c r="J2443" i="1"/>
  <c r="K2443" i="1"/>
  <c r="M2443" i="1"/>
  <c r="A1316" i="1"/>
  <c r="G1316" i="1"/>
  <c r="H1316" i="1"/>
  <c r="I1316" i="1"/>
  <c r="J1316" i="1"/>
  <c r="A3750" i="1"/>
  <c r="G3750" i="1"/>
  <c r="H3750" i="1"/>
  <c r="I3750" i="1"/>
  <c r="J3750" i="1"/>
  <c r="A1317" i="1"/>
  <c r="G1317" i="1"/>
  <c r="H1317" i="1"/>
  <c r="I1317" i="1"/>
  <c r="J1317" i="1"/>
  <c r="M1317" i="1"/>
  <c r="A4747" i="1"/>
  <c r="G4747" i="1"/>
  <c r="H4747" i="1"/>
  <c r="I4747" i="1"/>
  <c r="J4747" i="1"/>
  <c r="M4747" i="1"/>
  <c r="A4259" i="1"/>
  <c r="G4259" i="1"/>
  <c r="H4259" i="1"/>
  <c r="I4259" i="1"/>
  <c r="J4259" i="1"/>
  <c r="A2878" i="1"/>
  <c r="G2878" i="1"/>
  <c r="H2878" i="1"/>
  <c r="I2878" i="1"/>
  <c r="J2878" i="1"/>
  <c r="K2878" i="1"/>
  <c r="M2878" i="1"/>
  <c r="A3751" i="1"/>
  <c r="G3751" i="1"/>
  <c r="H3751" i="1"/>
  <c r="I3751" i="1"/>
  <c r="J3751" i="1"/>
  <c r="K3751" i="1"/>
  <c r="M3751" i="1"/>
  <c r="A1318" i="1"/>
  <c r="G1318" i="1"/>
  <c r="H1318" i="1"/>
  <c r="I1318" i="1"/>
  <c r="J1318" i="1"/>
  <c r="K1318" i="1"/>
  <c r="M1318" i="1"/>
  <c r="A4526" i="1"/>
  <c r="G4526" i="1"/>
  <c r="H4526" i="1"/>
  <c r="I4526" i="1"/>
  <c r="J4526" i="1"/>
  <c r="K4526" i="1"/>
  <c r="M4526" i="1"/>
  <c r="A1319" i="1"/>
  <c r="G1319" i="1"/>
  <c r="H1319" i="1"/>
  <c r="I1319" i="1"/>
  <c r="J1319" i="1"/>
  <c r="A3752" i="1"/>
  <c r="G3752" i="1"/>
  <c r="H3752" i="1"/>
  <c r="I3752" i="1"/>
  <c r="J3752" i="1"/>
  <c r="K3752" i="1"/>
  <c r="M3752" i="1"/>
  <c r="A1320" i="1"/>
  <c r="G1320" i="1"/>
  <c r="H1320" i="1"/>
  <c r="I1320" i="1"/>
  <c r="J1320" i="1"/>
  <c r="K1320" i="1"/>
  <c r="M1320" i="1"/>
  <c r="A3753" i="1"/>
  <c r="G3753" i="1"/>
  <c r="H3753" i="1"/>
  <c r="I3753" i="1"/>
  <c r="J3753" i="1"/>
  <c r="K3753" i="1"/>
  <c r="M3753" i="1"/>
  <c r="A3754" i="1"/>
  <c r="G3754" i="1"/>
  <c r="H3754" i="1"/>
  <c r="I3754" i="1"/>
  <c r="J3754" i="1"/>
  <c r="K3754" i="1"/>
  <c r="M3754" i="1"/>
  <c r="A1321" i="1"/>
  <c r="G1321" i="1"/>
  <c r="H1321" i="1"/>
  <c r="I1321" i="1"/>
  <c r="J1321" i="1"/>
  <c r="K1321" i="1"/>
  <c r="M1321" i="1"/>
  <c r="A3755" i="1"/>
  <c r="G3755" i="1"/>
  <c r="H3755" i="1"/>
  <c r="I3755" i="1"/>
  <c r="J3755" i="1"/>
  <c r="K3755" i="1"/>
  <c r="M3755" i="1"/>
  <c r="A1322" i="1"/>
  <c r="G1322" i="1"/>
  <c r="H1322" i="1"/>
  <c r="I1322" i="1"/>
  <c r="J1322" i="1"/>
  <c r="K1322" i="1"/>
  <c r="M1322" i="1"/>
  <c r="A1323" i="1"/>
  <c r="G1323" i="1"/>
  <c r="H1323" i="1"/>
  <c r="I1323" i="1"/>
  <c r="J1323" i="1"/>
  <c r="K1323" i="1"/>
  <c r="M1323" i="1"/>
  <c r="A120" i="1"/>
  <c r="G120" i="1"/>
  <c r="H120" i="1"/>
  <c r="I120" i="1"/>
  <c r="J120" i="1"/>
  <c r="K120" i="1"/>
  <c r="M120" i="1"/>
  <c r="A3756" i="1"/>
  <c r="G3756" i="1"/>
  <c r="H3756" i="1"/>
  <c r="I3756" i="1"/>
  <c r="J3756" i="1"/>
  <c r="K3756" i="1"/>
  <c r="M3756" i="1"/>
  <c r="A1324" i="1"/>
  <c r="G1324" i="1"/>
  <c r="H1324" i="1"/>
  <c r="I1324" i="1"/>
  <c r="J1324" i="1"/>
  <c r="K1324" i="1"/>
  <c r="M1324" i="1"/>
  <c r="A2444" i="1"/>
  <c r="G2444" i="1"/>
  <c r="H2444" i="1"/>
  <c r="I2444" i="1"/>
  <c r="J2444" i="1"/>
  <c r="A2445" i="1"/>
  <c r="G2445" i="1"/>
  <c r="H2445" i="1"/>
  <c r="I2445" i="1"/>
  <c r="J2445" i="1"/>
  <c r="A2446" i="1"/>
  <c r="G2446" i="1"/>
  <c r="H2446" i="1"/>
  <c r="I2446" i="1"/>
  <c r="J2446" i="1"/>
  <c r="A2447" i="1"/>
  <c r="G2447" i="1"/>
  <c r="H2447" i="1"/>
  <c r="I2447" i="1"/>
  <c r="J2447" i="1"/>
  <c r="K2447" i="1"/>
  <c r="M2447" i="1"/>
  <c r="A1325" i="1"/>
  <c r="G1325" i="1"/>
  <c r="H1325" i="1"/>
  <c r="I1325" i="1"/>
  <c r="J1325" i="1"/>
  <c r="K1325" i="1"/>
  <c r="M1325" i="1"/>
  <c r="A3757" i="1"/>
  <c r="G3757" i="1"/>
  <c r="H3757" i="1"/>
  <c r="I3757" i="1"/>
  <c r="J3757" i="1"/>
  <c r="K3757" i="1"/>
  <c r="M3757" i="1"/>
  <c r="A3758" i="1"/>
  <c r="G3758" i="1"/>
  <c r="H3758" i="1"/>
  <c r="I3758" i="1"/>
  <c r="J3758" i="1"/>
  <c r="K3758" i="1"/>
  <c r="M3758" i="1"/>
  <c r="A1326" i="1"/>
  <c r="G1326" i="1"/>
  <c r="H1326" i="1"/>
  <c r="I1326" i="1"/>
  <c r="J1326" i="1"/>
  <c r="K1326" i="1"/>
  <c r="M1326" i="1"/>
  <c r="A1327" i="1"/>
  <c r="G1327" i="1"/>
  <c r="H1327" i="1"/>
  <c r="I1327" i="1"/>
  <c r="J1327" i="1"/>
  <c r="M1327" i="1"/>
  <c r="A1328" i="1"/>
  <c r="G1328" i="1"/>
  <c r="H1328" i="1"/>
  <c r="I1328" i="1"/>
  <c r="J1328" i="1"/>
  <c r="K1328" i="1"/>
  <c r="M1328" i="1"/>
  <c r="A2448" i="1"/>
  <c r="G2448" i="1"/>
  <c r="H2448" i="1"/>
  <c r="I2448" i="1"/>
  <c r="J2448" i="1"/>
  <c r="K2448" i="1"/>
  <c r="M2448" i="1"/>
  <c r="A2449" i="1"/>
  <c r="G2449" i="1"/>
  <c r="H2449" i="1"/>
  <c r="I2449" i="1"/>
  <c r="J2449" i="1"/>
  <c r="K2449" i="1"/>
  <c r="M2449" i="1"/>
  <c r="A4527" i="1"/>
  <c r="G4527" i="1"/>
  <c r="H4527" i="1"/>
  <c r="I4527" i="1"/>
  <c r="J4527" i="1"/>
  <c r="M4527" i="1"/>
  <c r="A4528" i="1"/>
  <c r="G4528" i="1"/>
  <c r="H4528" i="1"/>
  <c r="I4528" i="1"/>
  <c r="J4528" i="1"/>
  <c r="K4528" i="1"/>
  <c r="M4528" i="1"/>
  <c r="A1329" i="1"/>
  <c r="G1329" i="1"/>
  <c r="H1329" i="1"/>
  <c r="I1329" i="1"/>
  <c r="J1329" i="1"/>
  <c r="M1329" i="1"/>
  <c r="A2450" i="1"/>
  <c r="G2450" i="1"/>
  <c r="H2450" i="1"/>
  <c r="I2450" i="1"/>
  <c r="J2450" i="1"/>
  <c r="K2450" i="1"/>
  <c r="M2450" i="1"/>
  <c r="A121" i="1"/>
  <c r="G121" i="1"/>
  <c r="H121" i="1"/>
  <c r="I121" i="1"/>
  <c r="J121" i="1"/>
  <c r="K121" i="1"/>
  <c r="M121" i="1"/>
  <c r="A1330" i="1"/>
  <c r="G1330" i="1"/>
  <c r="H1330" i="1"/>
  <c r="I1330" i="1"/>
  <c r="J1330" i="1"/>
  <c r="K1330" i="1"/>
  <c r="M1330" i="1"/>
  <c r="A1331" i="1"/>
  <c r="G1331" i="1"/>
  <c r="H1331" i="1"/>
  <c r="I1331" i="1"/>
  <c r="J1331" i="1"/>
  <c r="K1331" i="1"/>
  <c r="M1331" i="1"/>
  <c r="A3759" i="1"/>
  <c r="G3759" i="1"/>
  <c r="H3759" i="1"/>
  <c r="I3759" i="1"/>
  <c r="J3759" i="1"/>
  <c r="A3760" i="1"/>
  <c r="G3760" i="1"/>
  <c r="H3760" i="1"/>
  <c r="I3760" i="1"/>
  <c r="J3760" i="1"/>
  <c r="K3760" i="1"/>
  <c r="M3760" i="1"/>
  <c r="A1332" i="1"/>
  <c r="G1332" i="1"/>
  <c r="H1332" i="1"/>
  <c r="I1332" i="1"/>
  <c r="J1332" i="1"/>
  <c r="K1332" i="1"/>
  <c r="M1332" i="1"/>
  <c r="A3761" i="1"/>
  <c r="G3761" i="1"/>
  <c r="H3761" i="1"/>
  <c r="I3761" i="1"/>
  <c r="J3761" i="1"/>
  <c r="A1333" i="1"/>
  <c r="G1333" i="1"/>
  <c r="H1333" i="1"/>
  <c r="I1333" i="1"/>
  <c r="J1333" i="1"/>
  <c r="K1333" i="1"/>
  <c r="M1333" i="1"/>
  <c r="A4335" i="1"/>
  <c r="G4335" i="1"/>
  <c r="H4335" i="1"/>
  <c r="I4335" i="1"/>
  <c r="J4335" i="1"/>
  <c r="A4529" i="1"/>
  <c r="G4529" i="1"/>
  <c r="H4529" i="1"/>
  <c r="I4529" i="1"/>
  <c r="J4529" i="1"/>
  <c r="K4529" i="1"/>
  <c r="M4529" i="1"/>
  <c r="A2451" i="1"/>
  <c r="G2451" i="1"/>
  <c r="H2451" i="1"/>
  <c r="I2451" i="1"/>
  <c r="J2451" i="1"/>
  <c r="A1334" i="1"/>
  <c r="G1334" i="1"/>
  <c r="H1334" i="1"/>
  <c r="I1334" i="1"/>
  <c r="J1334" i="1"/>
  <c r="K1334" i="1"/>
  <c r="M1334" i="1"/>
  <c r="A1335" i="1"/>
  <c r="G1335" i="1"/>
  <c r="H1335" i="1"/>
  <c r="I1335" i="1"/>
  <c r="J1335" i="1"/>
  <c r="L1335" i="1"/>
  <c r="M1335" i="1"/>
  <c r="A2807" i="1"/>
  <c r="G2807" i="1"/>
  <c r="H2807" i="1"/>
  <c r="I2807" i="1"/>
  <c r="J2807" i="1"/>
  <c r="K2807" i="1"/>
  <c r="M2807" i="1"/>
  <c r="A4800" i="1"/>
  <c r="G4800" i="1"/>
  <c r="H4800" i="1"/>
  <c r="I4800" i="1"/>
  <c r="J4800" i="1"/>
  <c r="K4800" i="1"/>
  <c r="M4800" i="1"/>
  <c r="A1336" i="1"/>
  <c r="G1336" i="1"/>
  <c r="H1336" i="1"/>
  <c r="I1336" i="1"/>
  <c r="J1336" i="1"/>
  <c r="K1336" i="1"/>
  <c r="M1336" i="1"/>
  <c r="A1337" i="1"/>
  <c r="G1337" i="1"/>
  <c r="H1337" i="1"/>
  <c r="I1337" i="1"/>
  <c r="J1337" i="1"/>
  <c r="M1337" i="1"/>
  <c r="A4748" i="1"/>
  <c r="G4748" i="1"/>
  <c r="H4748" i="1"/>
  <c r="I4748" i="1"/>
  <c r="J4748" i="1"/>
  <c r="M4748" i="1"/>
  <c r="A3762" i="1"/>
  <c r="G3762" i="1"/>
  <c r="H3762" i="1"/>
  <c r="I3762" i="1"/>
  <c r="J3762" i="1"/>
  <c r="K3762" i="1"/>
  <c r="M3762" i="1"/>
  <c r="A1338" i="1"/>
  <c r="G1338" i="1"/>
  <c r="H1338" i="1"/>
  <c r="I1338" i="1"/>
  <c r="J1338" i="1"/>
  <c r="K1338" i="1"/>
  <c r="M1338" i="1"/>
  <c r="A1339" i="1"/>
  <c r="G1339" i="1"/>
  <c r="H1339" i="1"/>
  <c r="I1339" i="1"/>
  <c r="J1339" i="1"/>
  <c r="K1339" i="1"/>
  <c r="M1339" i="1"/>
  <c r="A2452" i="1"/>
  <c r="G2452" i="1"/>
  <c r="H2452" i="1"/>
  <c r="I2452" i="1"/>
  <c r="J2452" i="1"/>
  <c r="A1340" i="1"/>
  <c r="G1340" i="1"/>
  <c r="H1340" i="1"/>
  <c r="I1340" i="1"/>
  <c r="J1340" i="1"/>
  <c r="K1340" i="1"/>
  <c r="M1340" i="1"/>
  <c r="A2453" i="1"/>
  <c r="G2453" i="1"/>
  <c r="H2453" i="1"/>
  <c r="I2453" i="1"/>
  <c r="J2453" i="1"/>
  <c r="K2453" i="1"/>
  <c r="M2453" i="1"/>
  <c r="A1341" i="1"/>
  <c r="G1341" i="1"/>
  <c r="H1341" i="1"/>
  <c r="I1341" i="1"/>
  <c r="J1341" i="1"/>
  <c r="K1341" i="1"/>
  <c r="M1341" i="1"/>
  <c r="A122" i="1"/>
  <c r="G122" i="1"/>
  <c r="H122" i="1"/>
  <c r="I122" i="1"/>
  <c r="J122" i="1"/>
  <c r="K122" i="1"/>
  <c r="M122" i="1"/>
  <c r="A1342" i="1"/>
  <c r="G1342" i="1"/>
  <c r="H1342" i="1"/>
  <c r="I1342" i="1"/>
  <c r="J1342" i="1"/>
  <c r="K1342" i="1"/>
  <c r="M1342" i="1"/>
  <c r="A2454" i="1"/>
  <c r="G2454" i="1"/>
  <c r="H2454" i="1"/>
  <c r="I2454" i="1"/>
  <c r="J2454" i="1"/>
  <c r="A1343" i="1"/>
  <c r="G1343" i="1"/>
  <c r="H1343" i="1"/>
  <c r="I1343" i="1"/>
  <c r="J1343" i="1"/>
  <c r="K1343" i="1"/>
  <c r="M1343" i="1"/>
  <c r="A2455" i="1"/>
  <c r="G2455" i="1"/>
  <c r="H2455" i="1"/>
  <c r="I2455" i="1"/>
  <c r="J2455" i="1"/>
  <c r="A1344" i="1"/>
  <c r="G1344" i="1"/>
  <c r="H1344" i="1"/>
  <c r="I1344" i="1"/>
  <c r="J1344" i="1"/>
  <c r="M1344" i="1"/>
  <c r="A3763" i="1"/>
  <c r="G3763" i="1"/>
  <c r="H3763" i="1"/>
  <c r="I3763" i="1"/>
  <c r="J3763" i="1"/>
  <c r="K3763" i="1"/>
  <c r="M3763" i="1"/>
  <c r="A4170" i="1"/>
  <c r="G4170" i="1"/>
  <c r="H4170" i="1"/>
  <c r="I4170" i="1"/>
  <c r="J4170" i="1"/>
  <c r="K4170" i="1"/>
  <c r="M4170" i="1"/>
  <c r="A3764" i="1"/>
  <c r="G3764" i="1"/>
  <c r="H3764" i="1"/>
  <c r="I3764" i="1"/>
  <c r="J3764" i="1"/>
  <c r="A1345" i="1"/>
  <c r="G1345" i="1"/>
  <c r="H1345" i="1"/>
  <c r="I1345" i="1"/>
  <c r="J1345" i="1"/>
  <c r="K1345" i="1"/>
  <c r="M1345" i="1"/>
  <c r="A2456" i="1"/>
  <c r="G2456" i="1"/>
  <c r="H2456" i="1"/>
  <c r="I2456" i="1"/>
  <c r="J2456" i="1"/>
  <c r="A3765" i="1"/>
  <c r="G3765" i="1"/>
  <c r="H3765" i="1"/>
  <c r="I3765" i="1"/>
  <c r="J3765" i="1"/>
  <c r="A2457" i="1"/>
  <c r="G2457" i="1"/>
  <c r="H2457" i="1"/>
  <c r="I2457" i="1"/>
  <c r="J2457" i="1"/>
  <c r="K2457" i="1"/>
  <c r="M2457" i="1"/>
  <c r="A3766" i="1"/>
  <c r="G3766" i="1"/>
  <c r="H3766" i="1"/>
  <c r="I3766" i="1"/>
  <c r="J3766" i="1"/>
  <c r="A3767" i="1"/>
  <c r="G3767" i="1"/>
  <c r="H3767" i="1"/>
  <c r="I3767" i="1"/>
  <c r="J3767" i="1"/>
  <c r="A3768" i="1"/>
  <c r="G3768" i="1"/>
  <c r="H3768" i="1"/>
  <c r="I3768" i="1"/>
  <c r="J3768" i="1"/>
  <c r="A3769" i="1"/>
  <c r="G3769" i="1"/>
  <c r="H3769" i="1"/>
  <c r="I3769" i="1"/>
  <c r="J3769" i="1"/>
  <c r="A1346" i="1"/>
  <c r="G1346" i="1"/>
  <c r="H1346" i="1"/>
  <c r="I1346" i="1"/>
  <c r="J1346" i="1"/>
  <c r="K1346" i="1"/>
  <c r="M1346" i="1"/>
  <c r="A4530" i="1"/>
  <c r="G4530" i="1"/>
  <c r="H4530" i="1"/>
  <c r="I4530" i="1"/>
  <c r="J4530" i="1"/>
  <c r="K4530" i="1"/>
  <c r="M4530" i="1"/>
  <c r="A1347" i="1"/>
  <c r="G1347" i="1"/>
  <c r="H1347" i="1"/>
  <c r="I1347" i="1"/>
  <c r="J1347" i="1"/>
  <c r="K1347" i="1"/>
  <c r="M1347" i="1"/>
  <c r="A3770" i="1"/>
  <c r="G3770" i="1"/>
  <c r="H3770" i="1"/>
  <c r="I3770" i="1"/>
  <c r="J3770" i="1"/>
  <c r="K3770" i="1"/>
  <c r="M3770" i="1"/>
  <c r="A3771" i="1"/>
  <c r="G3771" i="1"/>
  <c r="H3771" i="1"/>
  <c r="I3771" i="1"/>
  <c r="J3771" i="1"/>
  <c r="K3771" i="1"/>
  <c r="M3771" i="1"/>
  <c r="A3772" i="1"/>
  <c r="G3772" i="1"/>
  <c r="H3772" i="1"/>
  <c r="I3772" i="1"/>
  <c r="J3772" i="1"/>
  <c r="A1348" i="1"/>
  <c r="G1348" i="1"/>
  <c r="H1348" i="1"/>
  <c r="I1348" i="1"/>
  <c r="J1348" i="1"/>
  <c r="K1348" i="1"/>
  <c r="M1348" i="1"/>
  <c r="A4531" i="1"/>
  <c r="G4531" i="1"/>
  <c r="H4531" i="1"/>
  <c r="I4531" i="1"/>
  <c r="J4531" i="1"/>
  <c r="K4531" i="1"/>
  <c r="M4531" i="1"/>
  <c r="A3773" i="1"/>
  <c r="G3773" i="1"/>
  <c r="H3773" i="1"/>
  <c r="I3773" i="1"/>
  <c r="J3773" i="1"/>
  <c r="A1349" i="1"/>
  <c r="G1349" i="1"/>
  <c r="H1349" i="1"/>
  <c r="I1349" i="1"/>
  <c r="J1349" i="1"/>
  <c r="K1349" i="1"/>
  <c r="M1349" i="1"/>
  <c r="A4532" i="1"/>
  <c r="G4532" i="1"/>
  <c r="H4532" i="1"/>
  <c r="I4532" i="1"/>
  <c r="J4532" i="1"/>
  <c r="M4532" i="1"/>
  <c r="A3774" i="1"/>
  <c r="G3774" i="1"/>
  <c r="H3774" i="1"/>
  <c r="I3774" i="1"/>
  <c r="J3774" i="1"/>
  <c r="K3774" i="1"/>
  <c r="M3774" i="1"/>
  <c r="A2458" i="1"/>
  <c r="G2458" i="1"/>
  <c r="H2458" i="1"/>
  <c r="I2458" i="1"/>
  <c r="J2458" i="1"/>
  <c r="K2458" i="1"/>
  <c r="M2458" i="1"/>
  <c r="A2459" i="1"/>
  <c r="G2459" i="1"/>
  <c r="H2459" i="1"/>
  <c r="I2459" i="1"/>
  <c r="J2459" i="1"/>
  <c r="K2459" i="1"/>
  <c r="M2459" i="1"/>
  <c r="A4260" i="1"/>
  <c r="G4260" i="1"/>
  <c r="H4260" i="1"/>
  <c r="I4260" i="1"/>
  <c r="J4260" i="1"/>
  <c r="A2460" i="1"/>
  <c r="G2460" i="1"/>
  <c r="H2460" i="1"/>
  <c r="I2460" i="1"/>
  <c r="J2460" i="1"/>
  <c r="K2460" i="1"/>
  <c r="M2460" i="1"/>
  <c r="A3775" i="1"/>
  <c r="G3775" i="1"/>
  <c r="H3775" i="1"/>
  <c r="I3775" i="1"/>
  <c r="J3775" i="1"/>
  <c r="A2808" i="1"/>
  <c r="G2808" i="1"/>
  <c r="H2808" i="1"/>
  <c r="I2808" i="1"/>
  <c r="J2808" i="1"/>
  <c r="K2808" i="1"/>
  <c r="M2808" i="1"/>
  <c r="A2461" i="1"/>
  <c r="G2461" i="1"/>
  <c r="H2461" i="1"/>
  <c r="I2461" i="1"/>
  <c r="J2461" i="1"/>
  <c r="K2461" i="1"/>
  <c r="M2461" i="1"/>
  <c r="A1350" i="1"/>
  <c r="G1350" i="1"/>
  <c r="H1350" i="1"/>
  <c r="I1350" i="1"/>
  <c r="J1350" i="1"/>
  <c r="K1350" i="1"/>
  <c r="M1350" i="1"/>
  <c r="A2462" i="1"/>
  <c r="G2462" i="1"/>
  <c r="H2462" i="1"/>
  <c r="I2462" i="1"/>
  <c r="J2462" i="1"/>
  <c r="K2462" i="1"/>
  <c r="M2462" i="1"/>
  <c r="A123" i="1"/>
  <c r="G123" i="1"/>
  <c r="H123" i="1"/>
  <c r="I123" i="1"/>
  <c r="J123" i="1"/>
  <c r="K123" i="1"/>
  <c r="M123" i="1"/>
  <c r="A3776" i="1"/>
  <c r="G3776" i="1"/>
  <c r="H3776" i="1"/>
  <c r="I3776" i="1"/>
  <c r="J3776" i="1"/>
  <c r="K3776" i="1"/>
  <c r="M3776" i="1"/>
  <c r="A1351" i="1"/>
  <c r="G1351" i="1"/>
  <c r="H1351" i="1"/>
  <c r="I1351" i="1"/>
  <c r="J1351" i="1"/>
  <c r="K1351" i="1"/>
  <c r="M1351" i="1"/>
  <c r="A2463" i="1"/>
  <c r="G2463" i="1"/>
  <c r="H2463" i="1"/>
  <c r="I2463" i="1"/>
  <c r="J2463" i="1"/>
  <c r="K2463" i="1"/>
  <c r="M2463" i="1"/>
  <c r="A1352" i="1"/>
  <c r="G1352" i="1"/>
  <c r="H1352" i="1"/>
  <c r="I1352" i="1"/>
  <c r="J1352" i="1"/>
  <c r="K1352" i="1"/>
  <c r="M1352" i="1"/>
  <c r="A3777" i="1"/>
  <c r="G3777" i="1"/>
  <c r="H3777" i="1"/>
  <c r="I3777" i="1"/>
  <c r="J3777" i="1"/>
  <c r="A4261" i="1"/>
  <c r="G4261" i="1"/>
  <c r="H4261" i="1"/>
  <c r="I4261" i="1"/>
  <c r="J4261" i="1"/>
  <c r="K4261" i="1"/>
  <c r="M4261" i="1"/>
  <c r="A3778" i="1"/>
  <c r="G3778" i="1"/>
  <c r="H3778" i="1"/>
  <c r="I3778" i="1"/>
  <c r="J3778" i="1"/>
  <c r="K3778" i="1"/>
  <c r="M3778" i="1"/>
  <c r="A1353" i="1"/>
  <c r="G1353" i="1"/>
  <c r="H1353" i="1"/>
  <c r="I1353" i="1"/>
  <c r="J1353" i="1"/>
  <c r="M1353" i="1"/>
  <c r="A3779" i="1"/>
  <c r="G3779" i="1"/>
  <c r="H3779" i="1"/>
  <c r="I3779" i="1"/>
  <c r="J3779" i="1"/>
  <c r="K3779" i="1"/>
  <c r="M3779" i="1"/>
  <c r="A4262" i="1"/>
  <c r="G4262" i="1"/>
  <c r="H4262" i="1"/>
  <c r="I4262" i="1"/>
  <c r="J4262" i="1"/>
  <c r="K4262" i="1"/>
  <c r="M4262" i="1"/>
  <c r="A124" i="1"/>
  <c r="G124" i="1"/>
  <c r="H124" i="1"/>
  <c r="I124" i="1"/>
  <c r="J124" i="1"/>
  <c r="A3780" i="1"/>
  <c r="G3780" i="1"/>
  <c r="H3780" i="1"/>
  <c r="I3780" i="1"/>
  <c r="J3780" i="1"/>
  <c r="K3780" i="1"/>
  <c r="M3780" i="1"/>
  <c r="G3781" i="1"/>
  <c r="H3781" i="1"/>
  <c r="I3781" i="1"/>
  <c r="J3781" i="1"/>
  <c r="A1354" i="1"/>
  <c r="G1354" i="1"/>
  <c r="H1354" i="1"/>
  <c r="I1354" i="1"/>
  <c r="J1354" i="1"/>
  <c r="K1354" i="1"/>
  <c r="M1354" i="1"/>
  <c r="A3782" i="1"/>
  <c r="G3782" i="1"/>
  <c r="H3782" i="1"/>
  <c r="I3782" i="1"/>
  <c r="J3782" i="1"/>
  <c r="A4620" i="1"/>
  <c r="G4620" i="1"/>
  <c r="H4620" i="1"/>
  <c r="I4620" i="1"/>
  <c r="J4620" i="1"/>
  <c r="K4620" i="1"/>
  <c r="M4620" i="1"/>
  <c r="A3783" i="1"/>
  <c r="G3783" i="1"/>
  <c r="H3783" i="1"/>
  <c r="I3783" i="1"/>
  <c r="J3783" i="1"/>
  <c r="K3783" i="1"/>
  <c r="M3783" i="1"/>
  <c r="A3784" i="1"/>
  <c r="G3784" i="1"/>
  <c r="H3784" i="1"/>
  <c r="I3784" i="1"/>
  <c r="J3784" i="1"/>
  <c r="A3785" i="1"/>
  <c r="G3785" i="1"/>
  <c r="H3785" i="1"/>
  <c r="I3785" i="1"/>
  <c r="J3785" i="1"/>
  <c r="A2464" i="1"/>
  <c r="G2464" i="1"/>
  <c r="H2464" i="1"/>
  <c r="I2464" i="1"/>
  <c r="J2464" i="1"/>
  <c r="K2464" i="1"/>
  <c r="M2464" i="1"/>
  <c r="A3786" i="1"/>
  <c r="G3786" i="1"/>
  <c r="H3786" i="1"/>
  <c r="I3786" i="1"/>
  <c r="J3786" i="1"/>
  <c r="A2465" i="1"/>
  <c r="G2465" i="1"/>
  <c r="H2465" i="1"/>
  <c r="I2465" i="1"/>
  <c r="J2465" i="1"/>
  <c r="K2465" i="1"/>
  <c r="M2465" i="1"/>
  <c r="A3787" i="1"/>
  <c r="G3787" i="1"/>
  <c r="H3787" i="1"/>
  <c r="I3787" i="1"/>
  <c r="J3787" i="1"/>
  <c r="K3787" i="1"/>
  <c r="M3787" i="1"/>
  <c r="A1355" i="1"/>
  <c r="G1355" i="1"/>
  <c r="H1355" i="1"/>
  <c r="I1355" i="1"/>
  <c r="J1355" i="1"/>
  <c r="M1355" i="1"/>
  <c r="A1356" i="1"/>
  <c r="G1356" i="1"/>
  <c r="H1356" i="1"/>
  <c r="I1356" i="1"/>
  <c r="J1356" i="1"/>
  <c r="K1356" i="1"/>
  <c r="M1356" i="1"/>
  <c r="A3788" i="1"/>
  <c r="G3788" i="1"/>
  <c r="H3788" i="1"/>
  <c r="I3788" i="1"/>
  <c r="J3788" i="1"/>
  <c r="A4631" i="1"/>
  <c r="G4631" i="1"/>
  <c r="H4631" i="1"/>
  <c r="I4631" i="1"/>
  <c r="J4631" i="1"/>
  <c r="K4631" i="1"/>
  <c r="M4631" i="1"/>
  <c r="A1357" i="1"/>
  <c r="G1357" i="1"/>
  <c r="H1357" i="1"/>
  <c r="I1357" i="1"/>
  <c r="J1357" i="1"/>
  <c r="M1357" i="1"/>
  <c r="A3789" i="1"/>
  <c r="G3789" i="1"/>
  <c r="H3789" i="1"/>
  <c r="I3789" i="1"/>
  <c r="J3789" i="1"/>
  <c r="K3789" i="1"/>
  <c r="M3789" i="1"/>
  <c r="A1358" i="1"/>
  <c r="G1358" i="1"/>
  <c r="H1358" i="1"/>
  <c r="I1358" i="1"/>
  <c r="J1358" i="1"/>
  <c r="K1358" i="1"/>
  <c r="M1358" i="1"/>
  <c r="A1359" i="1"/>
  <c r="G1359" i="1"/>
  <c r="H1359" i="1"/>
  <c r="I1359" i="1"/>
  <c r="J1359" i="1"/>
  <c r="K1359" i="1"/>
  <c r="M1359" i="1"/>
  <c r="A1360" i="1"/>
  <c r="G1360" i="1"/>
  <c r="H1360" i="1"/>
  <c r="I1360" i="1"/>
  <c r="J1360" i="1"/>
  <c r="K1360" i="1"/>
  <c r="M1360" i="1"/>
  <c r="A2466" i="1"/>
  <c r="G2466" i="1"/>
  <c r="H2466" i="1"/>
  <c r="I2466" i="1"/>
  <c r="J2466" i="1"/>
  <c r="A1361" i="1"/>
  <c r="G1361" i="1"/>
  <c r="H1361" i="1"/>
  <c r="I1361" i="1"/>
  <c r="J1361" i="1"/>
  <c r="K1361" i="1"/>
  <c r="M1361" i="1"/>
  <c r="A1362" i="1"/>
  <c r="G1362" i="1"/>
  <c r="H1362" i="1"/>
  <c r="I1362" i="1"/>
  <c r="J1362" i="1"/>
  <c r="M1362" i="1"/>
  <c r="A3790" i="1"/>
  <c r="G3790" i="1"/>
  <c r="H3790" i="1"/>
  <c r="I3790" i="1"/>
  <c r="J3790" i="1"/>
  <c r="A4749" i="1"/>
  <c r="G4749" i="1"/>
  <c r="H4749" i="1"/>
  <c r="I4749" i="1"/>
  <c r="J4749" i="1"/>
  <c r="M4749" i="1"/>
  <c r="A4801" i="1"/>
  <c r="G4801" i="1"/>
  <c r="H4801" i="1"/>
  <c r="I4801" i="1"/>
  <c r="J4801" i="1"/>
  <c r="K4801" i="1"/>
  <c r="M4801" i="1"/>
  <c r="A1363" i="1"/>
  <c r="G1363" i="1"/>
  <c r="H1363" i="1"/>
  <c r="I1363" i="1"/>
  <c r="J1363" i="1"/>
  <c r="K1363" i="1"/>
  <c r="M1363" i="1"/>
  <c r="A1364" i="1"/>
  <c r="G1364" i="1"/>
  <c r="H1364" i="1"/>
  <c r="I1364" i="1"/>
  <c r="J1364" i="1"/>
  <c r="K1364" i="1"/>
  <c r="M1364" i="1"/>
  <c r="A1365" i="1"/>
  <c r="G1365" i="1"/>
  <c r="H1365" i="1"/>
  <c r="I1365" i="1"/>
  <c r="J1365" i="1"/>
  <c r="K1365" i="1"/>
  <c r="M1365" i="1"/>
  <c r="A3791" i="1"/>
  <c r="G3791" i="1"/>
  <c r="H3791" i="1"/>
  <c r="I3791" i="1"/>
  <c r="J3791" i="1"/>
  <c r="K3791" i="1"/>
  <c r="M3791" i="1"/>
  <c r="A4750" i="1"/>
  <c r="G4750" i="1"/>
  <c r="H4750" i="1"/>
  <c r="I4750" i="1"/>
  <c r="J4750" i="1"/>
  <c r="M4750" i="1"/>
  <c r="A3792" i="1"/>
  <c r="G3792" i="1"/>
  <c r="H3792" i="1"/>
  <c r="I3792" i="1"/>
  <c r="J3792" i="1"/>
  <c r="A1366" i="1"/>
  <c r="G1366" i="1"/>
  <c r="H1366" i="1"/>
  <c r="I1366" i="1"/>
  <c r="J1366" i="1"/>
  <c r="K1366" i="1"/>
  <c r="M1366" i="1"/>
  <c r="A3793" i="1"/>
  <c r="G3793" i="1"/>
  <c r="H3793" i="1"/>
  <c r="I3793" i="1"/>
  <c r="J3793" i="1"/>
  <c r="A4263" i="1"/>
  <c r="G4263" i="1"/>
  <c r="H4263" i="1"/>
  <c r="I4263" i="1"/>
  <c r="J4263" i="1"/>
  <c r="K4263" i="1"/>
  <c r="M4263" i="1"/>
  <c r="A3794" i="1"/>
  <c r="G3794" i="1"/>
  <c r="H3794" i="1"/>
  <c r="I3794" i="1"/>
  <c r="J3794" i="1"/>
  <c r="K3794" i="1"/>
  <c r="M3794" i="1"/>
  <c r="A2809" i="1"/>
  <c r="G2809" i="1"/>
  <c r="H2809" i="1"/>
  <c r="I2809" i="1"/>
  <c r="J2809" i="1"/>
  <c r="K2809" i="1"/>
  <c r="M2809" i="1"/>
  <c r="A3795" i="1"/>
  <c r="G3795" i="1"/>
  <c r="H3795" i="1"/>
  <c r="I3795" i="1"/>
  <c r="J3795" i="1"/>
  <c r="K3795" i="1"/>
  <c r="M3795" i="1"/>
  <c r="A2467" i="1"/>
  <c r="G2467" i="1"/>
  <c r="H2467" i="1"/>
  <c r="I2467" i="1"/>
  <c r="J2467" i="1"/>
  <c r="K2467" i="1"/>
  <c r="M2467" i="1"/>
  <c r="A2810" i="1"/>
  <c r="G2810" i="1"/>
  <c r="H2810" i="1"/>
  <c r="I2810" i="1"/>
  <c r="J2810" i="1"/>
  <c r="K2810" i="1"/>
  <c r="M2810" i="1"/>
  <c r="A1367" i="1"/>
  <c r="G1367" i="1"/>
  <c r="H1367" i="1"/>
  <c r="I1367" i="1"/>
  <c r="J1367" i="1"/>
  <c r="K1367" i="1"/>
  <c r="M1367" i="1"/>
  <c r="A3796" i="1"/>
  <c r="G3796" i="1"/>
  <c r="H3796" i="1"/>
  <c r="I3796" i="1"/>
  <c r="J3796" i="1"/>
  <c r="A3797" i="1"/>
  <c r="G3797" i="1"/>
  <c r="H3797" i="1"/>
  <c r="I3797" i="1"/>
  <c r="J3797" i="1"/>
  <c r="A2468" i="1"/>
  <c r="G2468" i="1"/>
  <c r="H2468" i="1"/>
  <c r="I2468" i="1"/>
  <c r="J2468" i="1"/>
  <c r="K2468" i="1"/>
  <c r="M2468" i="1"/>
  <c r="A4264" i="1"/>
  <c r="G4264" i="1"/>
  <c r="H4264" i="1"/>
  <c r="I4264" i="1"/>
  <c r="J4264" i="1"/>
  <c r="A4533" i="1"/>
  <c r="G4533" i="1"/>
  <c r="H4533" i="1"/>
  <c r="I4533" i="1"/>
  <c r="J4533" i="1"/>
  <c r="K4533" i="1"/>
  <c r="M4533" i="1"/>
  <c r="A2811" i="1"/>
  <c r="G2811" i="1"/>
  <c r="H2811" i="1"/>
  <c r="I2811" i="1"/>
  <c r="J2811" i="1"/>
  <c r="K2811" i="1"/>
  <c r="M2811" i="1"/>
  <c r="A1368" i="1"/>
  <c r="G1368" i="1"/>
  <c r="H1368" i="1"/>
  <c r="I1368" i="1"/>
  <c r="J1368" i="1"/>
  <c r="K1368" i="1"/>
  <c r="M1368" i="1"/>
  <c r="A4309" i="1"/>
  <c r="G4309" i="1"/>
  <c r="H4309" i="1"/>
  <c r="I4309" i="1"/>
  <c r="J4309" i="1"/>
  <c r="K4309" i="1"/>
  <c r="M4309" i="1"/>
  <c r="A2469" i="1"/>
  <c r="G2469" i="1"/>
  <c r="H2469" i="1"/>
  <c r="I2469" i="1"/>
  <c r="J2469" i="1"/>
  <c r="K2469" i="1"/>
  <c r="M2469" i="1"/>
  <c r="A4751" i="1"/>
  <c r="G4751" i="1"/>
  <c r="H4751" i="1"/>
  <c r="I4751" i="1"/>
  <c r="J4751" i="1"/>
  <c r="M4751" i="1"/>
  <c r="A1369" i="1"/>
  <c r="G1369" i="1"/>
  <c r="H1369" i="1"/>
  <c r="I1369" i="1"/>
  <c r="J1369" i="1"/>
  <c r="K1369" i="1"/>
  <c r="M1369" i="1"/>
  <c r="A1370" i="1"/>
  <c r="G1370" i="1"/>
  <c r="H1370" i="1"/>
  <c r="I1370" i="1"/>
  <c r="J1370" i="1"/>
  <c r="K1370" i="1"/>
  <c r="M1370" i="1"/>
  <c r="A2470" i="1"/>
  <c r="G2470" i="1"/>
  <c r="H2470" i="1"/>
  <c r="I2470" i="1"/>
  <c r="J2470" i="1"/>
  <c r="K2470" i="1"/>
  <c r="M2470" i="1"/>
  <c r="A1371" i="1"/>
  <c r="G1371" i="1"/>
  <c r="H1371" i="1"/>
  <c r="I1371" i="1"/>
  <c r="J1371" i="1"/>
  <c r="K1371" i="1"/>
  <c r="M1371" i="1"/>
  <c r="A1372" i="1"/>
  <c r="G1372" i="1"/>
  <c r="H1372" i="1"/>
  <c r="I1372" i="1"/>
  <c r="J1372" i="1"/>
  <c r="M1372" i="1"/>
  <c r="A1373" i="1"/>
  <c r="G1373" i="1"/>
  <c r="H1373" i="1"/>
  <c r="I1373" i="1"/>
  <c r="J1373" i="1"/>
  <c r="M1373" i="1"/>
  <c r="A1374" i="1"/>
  <c r="G1374" i="1"/>
  <c r="H1374" i="1"/>
  <c r="I1374" i="1"/>
  <c r="J1374" i="1"/>
  <c r="K1374" i="1"/>
  <c r="M1374" i="1"/>
  <c r="A1375" i="1"/>
  <c r="G1375" i="1"/>
  <c r="H1375" i="1"/>
  <c r="I1375" i="1"/>
  <c r="J1375" i="1"/>
  <c r="K1375" i="1"/>
  <c r="M1375" i="1"/>
  <c r="A3798" i="1"/>
  <c r="G3798" i="1"/>
  <c r="H3798" i="1"/>
  <c r="I3798" i="1"/>
  <c r="J3798" i="1"/>
  <c r="A2879" i="1"/>
  <c r="G2879" i="1"/>
  <c r="H2879" i="1"/>
  <c r="I2879" i="1"/>
  <c r="J2879" i="1"/>
  <c r="K2879" i="1"/>
  <c r="M2879" i="1"/>
  <c r="A2471" i="1"/>
  <c r="G2471" i="1"/>
  <c r="H2471" i="1"/>
  <c r="I2471" i="1"/>
  <c r="J2471" i="1"/>
  <c r="M2471" i="1"/>
  <c r="A1376" i="1"/>
  <c r="G1376" i="1"/>
  <c r="H1376" i="1"/>
  <c r="I1376" i="1"/>
  <c r="J1376" i="1"/>
  <c r="M1376" i="1"/>
  <c r="A125" i="1"/>
  <c r="G125" i="1"/>
  <c r="H125" i="1"/>
  <c r="I125" i="1"/>
  <c r="J125" i="1"/>
  <c r="A3799" i="1"/>
  <c r="G3799" i="1"/>
  <c r="H3799" i="1"/>
  <c r="I3799" i="1"/>
  <c r="J3799" i="1"/>
  <c r="K3799" i="1"/>
  <c r="M3799" i="1"/>
  <c r="A1377" i="1"/>
  <c r="G1377" i="1"/>
  <c r="H1377" i="1"/>
  <c r="I1377" i="1"/>
  <c r="J1377" i="1"/>
  <c r="K1377" i="1"/>
  <c r="M1377" i="1"/>
  <c r="A3800" i="1"/>
  <c r="G3800" i="1"/>
  <c r="H3800" i="1"/>
  <c r="I3800" i="1"/>
  <c r="J3800" i="1"/>
  <c r="K3800" i="1"/>
  <c r="M3800" i="1"/>
  <c r="A1378" i="1"/>
  <c r="G1378" i="1"/>
  <c r="H1378" i="1"/>
  <c r="I1378" i="1"/>
  <c r="J1378" i="1"/>
  <c r="K1378" i="1"/>
  <c r="M1378" i="1"/>
  <c r="A3801" i="1"/>
  <c r="G3801" i="1"/>
  <c r="H3801" i="1"/>
  <c r="I3801" i="1"/>
  <c r="J3801" i="1"/>
  <c r="A3802" i="1"/>
  <c r="G3802" i="1"/>
  <c r="H3802" i="1"/>
  <c r="I3802" i="1"/>
  <c r="J3802" i="1"/>
  <c r="K3802" i="1"/>
  <c r="M3802" i="1"/>
  <c r="A3803" i="1"/>
  <c r="G3803" i="1"/>
  <c r="H3803" i="1"/>
  <c r="I3803" i="1"/>
  <c r="J3803" i="1"/>
  <c r="K3803" i="1"/>
  <c r="M3803" i="1"/>
  <c r="A3804" i="1"/>
  <c r="G3804" i="1"/>
  <c r="H3804" i="1"/>
  <c r="I3804" i="1"/>
  <c r="J3804" i="1"/>
  <c r="K3804" i="1"/>
  <c r="M3804" i="1"/>
  <c r="A1379" i="1"/>
  <c r="G1379" i="1"/>
  <c r="H1379" i="1"/>
  <c r="I1379" i="1"/>
  <c r="J1379" i="1"/>
  <c r="K1379" i="1"/>
  <c r="M1379" i="1"/>
  <c r="A3805" i="1"/>
  <c r="G3805" i="1"/>
  <c r="H3805" i="1"/>
  <c r="I3805" i="1"/>
  <c r="J3805" i="1"/>
  <c r="A4265" i="1"/>
  <c r="G4265" i="1"/>
  <c r="H4265" i="1"/>
  <c r="I4265" i="1"/>
  <c r="J4265" i="1"/>
  <c r="A4534" i="1"/>
  <c r="G4534" i="1"/>
  <c r="H4534" i="1"/>
  <c r="I4534" i="1"/>
  <c r="J4534" i="1"/>
  <c r="K4534" i="1"/>
  <c r="L4534" i="1"/>
  <c r="M4534" i="1"/>
  <c r="A1380" i="1"/>
  <c r="G1380" i="1"/>
  <c r="H1380" i="1"/>
  <c r="I1380" i="1"/>
  <c r="J1380" i="1"/>
  <c r="L1380" i="1"/>
  <c r="M1380" i="1"/>
  <c r="A2472" i="1"/>
  <c r="G2472" i="1"/>
  <c r="H2472" i="1"/>
  <c r="I2472" i="1"/>
  <c r="J2472" i="1"/>
  <c r="K2472" i="1"/>
  <c r="M2472" i="1"/>
  <c r="A3806" i="1"/>
  <c r="G3806" i="1"/>
  <c r="H3806" i="1"/>
  <c r="I3806" i="1"/>
  <c r="J3806" i="1"/>
  <c r="K3806" i="1"/>
  <c r="M3806" i="1"/>
  <c r="A2473" i="1"/>
  <c r="G2473" i="1"/>
  <c r="H2473" i="1"/>
  <c r="I2473" i="1"/>
  <c r="J2473" i="1"/>
  <c r="A3807" i="1"/>
  <c r="G3807" i="1"/>
  <c r="H3807" i="1"/>
  <c r="I3807" i="1"/>
  <c r="J3807" i="1"/>
  <c r="A1381" i="1"/>
  <c r="G1381" i="1"/>
  <c r="H1381" i="1"/>
  <c r="I1381" i="1"/>
  <c r="J1381" i="1"/>
  <c r="K1381" i="1"/>
  <c r="M1381" i="1"/>
  <c r="A1382" i="1"/>
  <c r="G1382" i="1"/>
  <c r="H1382" i="1"/>
  <c r="I1382" i="1"/>
  <c r="J1382" i="1"/>
  <c r="K1382" i="1"/>
  <c r="M1382" i="1"/>
  <c r="A4266" i="1"/>
  <c r="G4266" i="1"/>
  <c r="H4266" i="1"/>
  <c r="I4266" i="1"/>
  <c r="J4266" i="1"/>
  <c r="K4266" i="1"/>
  <c r="M4266" i="1"/>
  <c r="A1383" i="1"/>
  <c r="G1383" i="1"/>
  <c r="H1383" i="1"/>
  <c r="I1383" i="1"/>
  <c r="J1383" i="1"/>
  <c r="M1383" i="1"/>
  <c r="A2474" i="1"/>
  <c r="G2474" i="1"/>
  <c r="H2474" i="1"/>
  <c r="I2474" i="1"/>
  <c r="J2474" i="1"/>
  <c r="A4535" i="1"/>
  <c r="G4535" i="1"/>
  <c r="H4535" i="1"/>
  <c r="I4535" i="1"/>
  <c r="J4535" i="1"/>
  <c r="K4535" i="1"/>
  <c r="M4535" i="1"/>
  <c r="A1384" i="1"/>
  <c r="G1384" i="1"/>
  <c r="H1384" i="1"/>
  <c r="I1384" i="1"/>
  <c r="J1384" i="1"/>
  <c r="K1384" i="1"/>
  <c r="M1384" i="1"/>
  <c r="A3808" i="1"/>
  <c r="G3808" i="1"/>
  <c r="H3808" i="1"/>
  <c r="I3808" i="1"/>
  <c r="J3808" i="1"/>
  <c r="K3808" i="1"/>
  <c r="M3808" i="1"/>
  <c r="A2475" i="1"/>
  <c r="G2475" i="1"/>
  <c r="H2475" i="1"/>
  <c r="I2475" i="1"/>
  <c r="J2475" i="1"/>
  <c r="K2475" i="1"/>
  <c r="M2475" i="1"/>
  <c r="A2476" i="1"/>
  <c r="G2476" i="1"/>
  <c r="H2476" i="1"/>
  <c r="I2476" i="1"/>
  <c r="J2476" i="1"/>
  <c r="A2880" i="1"/>
  <c r="G2880" i="1"/>
  <c r="H2880" i="1"/>
  <c r="I2880" i="1"/>
  <c r="J2880" i="1"/>
  <c r="K2880" i="1"/>
  <c r="M2880" i="1"/>
  <c r="A1385" i="1"/>
  <c r="G1385" i="1"/>
  <c r="H1385" i="1"/>
  <c r="I1385" i="1"/>
  <c r="J1385" i="1"/>
  <c r="K1385" i="1"/>
  <c r="M1385" i="1"/>
  <c r="A1386" i="1"/>
  <c r="G1386" i="1"/>
  <c r="H1386" i="1"/>
  <c r="I1386" i="1"/>
  <c r="J1386" i="1"/>
  <c r="K1386" i="1"/>
  <c r="M1386" i="1"/>
  <c r="A4752" i="1"/>
  <c r="G4752" i="1"/>
  <c r="H4752" i="1"/>
  <c r="I4752" i="1"/>
  <c r="J4752" i="1"/>
  <c r="M4752" i="1"/>
  <c r="A4267" i="1"/>
  <c r="G4267" i="1"/>
  <c r="H4267" i="1"/>
  <c r="I4267" i="1"/>
  <c r="J4267" i="1"/>
  <c r="A3809" i="1"/>
  <c r="G3809" i="1"/>
  <c r="H3809" i="1"/>
  <c r="I3809" i="1"/>
  <c r="J3809" i="1"/>
  <c r="K3809" i="1"/>
  <c r="M3809" i="1"/>
  <c r="A3810" i="1"/>
  <c r="G3810" i="1"/>
  <c r="H3810" i="1"/>
  <c r="I3810" i="1"/>
  <c r="J3810" i="1"/>
  <c r="K3810" i="1"/>
  <c r="M3810" i="1"/>
  <c r="A2477" i="1"/>
  <c r="G2477" i="1"/>
  <c r="H2477" i="1"/>
  <c r="I2477" i="1"/>
  <c r="J2477" i="1"/>
  <c r="A1387" i="1"/>
  <c r="G1387" i="1"/>
  <c r="H1387" i="1"/>
  <c r="I1387" i="1"/>
  <c r="J1387" i="1"/>
  <c r="K1387" i="1"/>
  <c r="M1387" i="1"/>
  <c r="A4536" i="1"/>
  <c r="G4536" i="1"/>
  <c r="H4536" i="1"/>
  <c r="I4536" i="1"/>
  <c r="J4536" i="1"/>
  <c r="M4536" i="1"/>
  <c r="A3811" i="1"/>
  <c r="G3811" i="1"/>
  <c r="H3811" i="1"/>
  <c r="I3811" i="1"/>
  <c r="J3811" i="1"/>
  <c r="A1388" i="1"/>
  <c r="G1388" i="1"/>
  <c r="H1388" i="1"/>
  <c r="I1388" i="1"/>
  <c r="J1388" i="1"/>
  <c r="K1388" i="1"/>
  <c r="M1388" i="1"/>
  <c r="A1389" i="1"/>
  <c r="G1389" i="1"/>
  <c r="H1389" i="1"/>
  <c r="I1389" i="1"/>
  <c r="J1389" i="1"/>
  <c r="M1389" i="1"/>
  <c r="A4753" i="1"/>
  <c r="G4753" i="1"/>
  <c r="H4753" i="1"/>
  <c r="I4753" i="1"/>
  <c r="J4753" i="1"/>
  <c r="M4753" i="1"/>
  <c r="A3812" i="1"/>
  <c r="G3812" i="1"/>
  <c r="H3812" i="1"/>
  <c r="I3812" i="1"/>
  <c r="J3812" i="1"/>
  <c r="K3812" i="1"/>
  <c r="M3812" i="1"/>
  <c r="A4310" i="1"/>
  <c r="G4310" i="1"/>
  <c r="H4310" i="1"/>
  <c r="I4310" i="1"/>
  <c r="J4310" i="1"/>
  <c r="K4310" i="1"/>
  <c r="M4310" i="1"/>
  <c r="A4621" i="1"/>
  <c r="G4621" i="1"/>
  <c r="H4621" i="1"/>
  <c r="I4621" i="1"/>
  <c r="J4621" i="1"/>
  <c r="A2478" i="1"/>
  <c r="G2478" i="1"/>
  <c r="H2478" i="1"/>
  <c r="I2478" i="1"/>
  <c r="J2478" i="1"/>
  <c r="K2478" i="1"/>
  <c r="M2478" i="1"/>
  <c r="A2479" i="1"/>
  <c r="G2479" i="1"/>
  <c r="H2479" i="1"/>
  <c r="I2479" i="1"/>
  <c r="J2479" i="1"/>
  <c r="K2479" i="1"/>
  <c r="M2479" i="1"/>
  <c r="A126" i="1"/>
  <c r="G126" i="1"/>
  <c r="H126" i="1"/>
  <c r="I126" i="1"/>
  <c r="J126" i="1"/>
  <c r="A2480" i="1"/>
  <c r="G2480" i="1"/>
  <c r="H2480" i="1"/>
  <c r="I2480" i="1"/>
  <c r="J2480" i="1"/>
  <c r="A1390" i="1"/>
  <c r="G1390" i="1"/>
  <c r="H1390" i="1"/>
  <c r="I1390" i="1"/>
  <c r="J1390" i="1"/>
  <c r="K1390" i="1"/>
  <c r="M1390" i="1"/>
  <c r="A3813" i="1"/>
  <c r="G3813" i="1"/>
  <c r="H3813" i="1"/>
  <c r="I3813" i="1"/>
  <c r="J3813" i="1"/>
  <c r="K3813" i="1"/>
  <c r="M3813" i="1"/>
  <c r="A2481" i="1"/>
  <c r="G2481" i="1"/>
  <c r="H2481" i="1"/>
  <c r="I2481" i="1"/>
  <c r="J2481" i="1"/>
  <c r="K2481" i="1"/>
  <c r="M2481" i="1"/>
  <c r="A127" i="1"/>
  <c r="G127" i="1"/>
  <c r="H127" i="1"/>
  <c r="I127" i="1"/>
  <c r="J127" i="1"/>
  <c r="A3814" i="1"/>
  <c r="G3814" i="1"/>
  <c r="H3814" i="1"/>
  <c r="I3814" i="1"/>
  <c r="J3814" i="1"/>
  <c r="K3814" i="1"/>
  <c r="M3814" i="1"/>
  <c r="A1391" i="1"/>
  <c r="G1391" i="1"/>
  <c r="H1391" i="1"/>
  <c r="I1391" i="1"/>
  <c r="J1391" i="1"/>
  <c r="M1391" i="1"/>
  <c r="A3815" i="1"/>
  <c r="G3815" i="1"/>
  <c r="H3815" i="1"/>
  <c r="I3815" i="1"/>
  <c r="J3815" i="1"/>
  <c r="K3815" i="1"/>
  <c r="M3815" i="1"/>
  <c r="A128" i="1"/>
  <c r="G128" i="1"/>
  <c r="H128" i="1"/>
  <c r="I128" i="1"/>
  <c r="J128" i="1"/>
  <c r="K128" i="1"/>
  <c r="M128" i="1"/>
  <c r="A1392" i="1"/>
  <c r="G1392" i="1"/>
  <c r="H1392" i="1"/>
  <c r="I1392" i="1"/>
  <c r="J1392" i="1"/>
  <c r="K1392" i="1"/>
  <c r="M1392" i="1"/>
  <c r="A1393" i="1"/>
  <c r="G1393" i="1"/>
  <c r="H1393" i="1"/>
  <c r="I1393" i="1"/>
  <c r="J1393" i="1"/>
  <c r="M1393" i="1"/>
  <c r="A1394" i="1"/>
  <c r="G1394" i="1"/>
  <c r="H1394" i="1"/>
  <c r="I1394" i="1"/>
  <c r="J1394" i="1"/>
  <c r="K1394" i="1"/>
  <c r="M1394" i="1"/>
  <c r="A4268" i="1"/>
  <c r="G4268" i="1"/>
  <c r="H4268" i="1"/>
  <c r="I4268" i="1"/>
  <c r="J4268" i="1"/>
  <c r="A1395" i="1"/>
  <c r="G1395" i="1"/>
  <c r="H1395" i="1"/>
  <c r="I1395" i="1"/>
  <c r="J1395" i="1"/>
  <c r="K1395" i="1"/>
  <c r="M1395" i="1"/>
  <c r="A4537" i="1"/>
  <c r="G4537" i="1"/>
  <c r="H4537" i="1"/>
  <c r="I4537" i="1"/>
  <c r="J4537" i="1"/>
  <c r="K4537" i="1"/>
  <c r="M4537" i="1"/>
  <c r="A1396" i="1"/>
  <c r="G1396" i="1"/>
  <c r="H1396" i="1"/>
  <c r="I1396" i="1"/>
  <c r="J1396" i="1"/>
  <c r="K1396" i="1"/>
  <c r="M1396" i="1"/>
  <c r="A1397" i="1"/>
  <c r="G1397" i="1"/>
  <c r="H1397" i="1"/>
  <c r="I1397" i="1"/>
  <c r="J1397" i="1"/>
  <c r="M1397" i="1"/>
  <c r="A1398" i="1"/>
  <c r="G1398" i="1"/>
  <c r="H1398" i="1"/>
  <c r="I1398" i="1"/>
  <c r="J1398" i="1"/>
  <c r="K1398" i="1"/>
  <c r="M1398" i="1"/>
  <c r="A1399" i="1"/>
  <c r="G1399" i="1"/>
  <c r="H1399" i="1"/>
  <c r="I1399" i="1"/>
  <c r="J1399" i="1"/>
  <c r="K1399" i="1"/>
  <c r="M1399" i="1"/>
  <c r="A1400" i="1"/>
  <c r="G1400" i="1"/>
  <c r="H1400" i="1"/>
  <c r="I1400" i="1"/>
  <c r="J1400" i="1"/>
  <c r="L1400" i="1"/>
  <c r="M1400" i="1"/>
  <c r="A1401" i="1"/>
  <c r="G1401" i="1"/>
  <c r="H1401" i="1"/>
  <c r="I1401" i="1"/>
  <c r="J1401" i="1"/>
  <c r="K1401" i="1"/>
  <c r="M1401" i="1"/>
  <c r="A3816" i="1"/>
  <c r="G3816" i="1"/>
  <c r="H3816" i="1"/>
  <c r="I3816" i="1"/>
  <c r="J3816" i="1"/>
  <c r="A2482" i="1"/>
  <c r="G2482" i="1"/>
  <c r="H2482" i="1"/>
  <c r="I2482" i="1"/>
  <c r="J2482" i="1"/>
  <c r="K2482" i="1"/>
  <c r="M2482" i="1"/>
  <c r="A3817" i="1"/>
  <c r="G3817" i="1"/>
  <c r="H3817" i="1"/>
  <c r="I3817" i="1"/>
  <c r="J3817" i="1"/>
  <c r="A1402" i="1"/>
  <c r="G1402" i="1"/>
  <c r="H1402" i="1"/>
  <c r="I1402" i="1"/>
  <c r="J1402" i="1"/>
  <c r="K1402" i="1"/>
  <c r="M1402" i="1"/>
  <c r="A2483" i="1"/>
  <c r="G2483" i="1"/>
  <c r="H2483" i="1"/>
  <c r="I2483" i="1"/>
  <c r="J2483" i="1"/>
  <c r="A2484" i="1"/>
  <c r="G2484" i="1"/>
  <c r="H2484" i="1"/>
  <c r="I2484" i="1"/>
  <c r="J2484" i="1"/>
  <c r="K2484" i="1"/>
  <c r="M2484" i="1"/>
  <c r="A3818" i="1"/>
  <c r="G3818" i="1"/>
  <c r="H3818" i="1"/>
  <c r="I3818" i="1"/>
  <c r="J3818" i="1"/>
  <c r="A1403" i="1"/>
  <c r="G1403" i="1"/>
  <c r="H1403" i="1"/>
  <c r="I1403" i="1"/>
  <c r="J1403" i="1"/>
  <c r="K1403" i="1"/>
  <c r="M1403" i="1"/>
  <c r="A4538" i="1"/>
  <c r="G4538" i="1"/>
  <c r="H4538" i="1"/>
  <c r="I4538" i="1"/>
  <c r="J4538" i="1"/>
  <c r="K4538" i="1"/>
  <c r="M4538" i="1"/>
  <c r="A1404" i="1"/>
  <c r="G1404" i="1"/>
  <c r="H1404" i="1"/>
  <c r="I1404" i="1"/>
  <c r="J1404" i="1"/>
  <c r="K1404" i="1"/>
  <c r="M1404" i="1"/>
  <c r="A2485" i="1"/>
  <c r="G2485" i="1"/>
  <c r="H2485" i="1"/>
  <c r="I2485" i="1"/>
  <c r="J2485" i="1"/>
  <c r="K2485" i="1"/>
  <c r="M2485" i="1"/>
  <c r="A1405" i="1"/>
  <c r="G1405" i="1"/>
  <c r="H1405" i="1"/>
  <c r="I1405" i="1"/>
  <c r="J1405" i="1"/>
  <c r="K1405" i="1"/>
  <c r="M1405" i="1"/>
  <c r="A1406" i="1"/>
  <c r="G1406" i="1"/>
  <c r="H1406" i="1"/>
  <c r="I1406" i="1"/>
  <c r="J1406" i="1"/>
  <c r="K1406" i="1"/>
  <c r="M1406" i="1"/>
  <c r="A1407" i="1"/>
  <c r="G1407" i="1"/>
  <c r="H1407" i="1"/>
  <c r="I1407" i="1"/>
  <c r="J1407" i="1"/>
  <c r="M1407" i="1"/>
  <c r="A2486" i="1"/>
  <c r="G2486" i="1"/>
  <c r="H2486" i="1"/>
  <c r="I2486" i="1"/>
  <c r="J2486" i="1"/>
  <c r="K2486" i="1"/>
  <c r="M2486" i="1"/>
  <c r="A4632" i="1"/>
  <c r="G4632" i="1"/>
  <c r="H4632" i="1"/>
  <c r="I4632" i="1"/>
  <c r="J4632" i="1"/>
  <c r="A4754" i="1"/>
  <c r="G4754" i="1"/>
  <c r="H4754" i="1"/>
  <c r="I4754" i="1"/>
  <c r="J4754" i="1"/>
  <c r="M4754" i="1"/>
  <c r="A2487" i="1"/>
  <c r="G2487" i="1"/>
  <c r="H2487" i="1"/>
  <c r="I2487" i="1"/>
  <c r="J2487" i="1"/>
  <c r="K2487" i="1"/>
  <c r="M2487" i="1"/>
  <c r="A2488" i="1"/>
  <c r="G2488" i="1"/>
  <c r="H2488" i="1"/>
  <c r="I2488" i="1"/>
  <c r="J2488" i="1"/>
  <c r="K2488" i="1"/>
  <c r="M2488" i="1"/>
  <c r="A2489" i="1"/>
  <c r="G2489" i="1"/>
  <c r="H2489" i="1"/>
  <c r="I2489" i="1"/>
  <c r="J2489" i="1"/>
  <c r="M2489" i="1"/>
  <c r="A4539" i="1"/>
  <c r="G4539" i="1"/>
  <c r="H4539" i="1"/>
  <c r="I4539" i="1"/>
  <c r="J4539" i="1"/>
  <c r="K4539" i="1"/>
  <c r="M4539" i="1"/>
  <c r="A1408" i="1"/>
  <c r="G1408" i="1"/>
  <c r="H1408" i="1"/>
  <c r="I1408" i="1"/>
  <c r="J1408" i="1"/>
  <c r="M1408" i="1"/>
  <c r="A3819" i="1"/>
  <c r="G3819" i="1"/>
  <c r="H3819" i="1"/>
  <c r="I3819" i="1"/>
  <c r="J3819" i="1"/>
  <c r="K3819" i="1"/>
  <c r="M3819" i="1"/>
  <c r="A3820" i="1"/>
  <c r="G3820" i="1"/>
  <c r="H3820" i="1"/>
  <c r="I3820" i="1"/>
  <c r="J3820" i="1"/>
  <c r="A4540" i="1"/>
  <c r="G4540" i="1"/>
  <c r="H4540" i="1"/>
  <c r="I4540" i="1"/>
  <c r="J4540" i="1"/>
  <c r="K4540" i="1"/>
  <c r="M4540" i="1"/>
  <c r="A3821" i="1"/>
  <c r="G3821" i="1"/>
  <c r="H3821" i="1"/>
  <c r="I3821" i="1"/>
  <c r="J3821" i="1"/>
  <c r="K3821" i="1"/>
  <c r="M3821" i="1"/>
  <c r="A1409" i="1"/>
  <c r="G1409" i="1"/>
  <c r="H1409" i="1"/>
  <c r="I1409" i="1"/>
  <c r="J1409" i="1"/>
  <c r="K1409" i="1"/>
  <c r="M1409" i="1"/>
  <c r="A1410" i="1"/>
  <c r="G1410" i="1"/>
  <c r="H1410" i="1"/>
  <c r="I1410" i="1"/>
  <c r="J1410" i="1"/>
  <c r="K1410" i="1"/>
  <c r="M1410" i="1"/>
  <c r="A3822" i="1"/>
  <c r="G3822" i="1"/>
  <c r="H3822" i="1"/>
  <c r="I3822" i="1"/>
  <c r="J3822" i="1"/>
  <c r="A2881" i="1"/>
  <c r="G2881" i="1"/>
  <c r="H2881" i="1"/>
  <c r="I2881" i="1"/>
  <c r="J2881" i="1"/>
  <c r="K2881" i="1"/>
  <c r="M2881" i="1"/>
  <c r="A1411" i="1"/>
  <c r="G1411" i="1"/>
  <c r="H1411" i="1"/>
  <c r="I1411" i="1"/>
  <c r="J1411" i="1"/>
  <c r="M1411" i="1"/>
  <c r="A3823" i="1"/>
  <c r="G3823" i="1"/>
  <c r="H3823" i="1"/>
  <c r="I3823" i="1"/>
  <c r="J3823" i="1"/>
  <c r="A1412" i="1"/>
  <c r="G1412" i="1"/>
  <c r="H1412" i="1"/>
  <c r="I1412" i="1"/>
  <c r="J1412" i="1"/>
  <c r="K1412" i="1"/>
  <c r="M1412" i="1"/>
  <c r="A1413" i="1"/>
  <c r="G1413" i="1"/>
  <c r="H1413" i="1"/>
  <c r="I1413" i="1"/>
  <c r="J1413" i="1"/>
  <c r="K1413" i="1"/>
  <c r="M1413" i="1"/>
  <c r="A3824" i="1"/>
  <c r="G3824" i="1"/>
  <c r="H3824" i="1"/>
  <c r="I3824" i="1"/>
  <c r="J3824" i="1"/>
  <c r="K3824" i="1"/>
  <c r="M3824" i="1"/>
  <c r="A1414" i="1"/>
  <c r="G1414" i="1"/>
  <c r="H1414" i="1"/>
  <c r="I1414" i="1"/>
  <c r="J1414" i="1"/>
  <c r="M1414" i="1"/>
  <c r="A1415" i="1"/>
  <c r="G1415" i="1"/>
  <c r="H1415" i="1"/>
  <c r="I1415" i="1"/>
  <c r="J1415" i="1"/>
  <c r="K1415" i="1"/>
  <c r="M1415" i="1"/>
  <c r="A1416" i="1"/>
  <c r="G1416" i="1"/>
  <c r="H1416" i="1"/>
  <c r="I1416" i="1"/>
  <c r="J1416" i="1"/>
  <c r="K1416" i="1"/>
  <c r="M1416" i="1"/>
  <c r="A3825" i="1"/>
  <c r="G3825" i="1"/>
  <c r="H3825" i="1"/>
  <c r="I3825" i="1"/>
  <c r="J3825" i="1"/>
  <c r="A2490" i="1"/>
  <c r="G2490" i="1"/>
  <c r="H2490" i="1"/>
  <c r="I2490" i="1"/>
  <c r="J2490" i="1"/>
  <c r="A2491" i="1"/>
  <c r="G2491" i="1"/>
  <c r="H2491" i="1"/>
  <c r="I2491" i="1"/>
  <c r="J2491" i="1"/>
  <c r="A4541" i="1"/>
  <c r="G4541" i="1"/>
  <c r="H4541" i="1"/>
  <c r="I4541" i="1"/>
  <c r="J4541" i="1"/>
  <c r="K4541" i="1"/>
  <c r="M4541" i="1"/>
  <c r="A3826" i="1"/>
  <c r="G3826" i="1"/>
  <c r="H3826" i="1"/>
  <c r="I3826" i="1"/>
  <c r="J3826" i="1"/>
  <c r="K3826" i="1"/>
  <c r="M3826" i="1"/>
  <c r="A3827" i="1"/>
  <c r="G3827" i="1"/>
  <c r="H3827" i="1"/>
  <c r="I3827" i="1"/>
  <c r="J3827" i="1"/>
  <c r="A2882" i="1"/>
  <c r="G2882" i="1"/>
  <c r="H2882" i="1"/>
  <c r="I2882" i="1"/>
  <c r="J2882" i="1"/>
  <c r="K2882" i="1"/>
  <c r="M2882" i="1"/>
  <c r="A3828" i="1"/>
  <c r="G3828" i="1"/>
  <c r="H3828" i="1"/>
  <c r="I3828" i="1"/>
  <c r="J3828" i="1"/>
  <c r="A4269" i="1"/>
  <c r="G4269" i="1"/>
  <c r="H4269" i="1"/>
  <c r="I4269" i="1"/>
  <c r="J4269" i="1"/>
  <c r="A1417" i="1"/>
  <c r="G1417" i="1"/>
  <c r="H1417" i="1"/>
  <c r="I1417" i="1"/>
  <c r="J1417" i="1"/>
  <c r="K1417" i="1"/>
  <c r="M1417" i="1"/>
  <c r="A3829" i="1"/>
  <c r="G3829" i="1"/>
  <c r="H3829" i="1"/>
  <c r="I3829" i="1"/>
  <c r="J3829" i="1"/>
  <c r="K3829" i="1"/>
  <c r="M3829" i="1"/>
  <c r="A1418" i="1"/>
  <c r="G1418" i="1"/>
  <c r="H1418" i="1"/>
  <c r="I1418" i="1"/>
  <c r="J1418" i="1"/>
  <c r="K1418" i="1"/>
  <c r="M1418" i="1"/>
  <c r="A1419" i="1"/>
  <c r="G1419" i="1"/>
  <c r="H1419" i="1"/>
  <c r="I1419" i="1"/>
  <c r="J1419" i="1"/>
  <c r="K1419" i="1"/>
  <c r="M1419" i="1"/>
  <c r="A1420" i="1"/>
  <c r="G1420" i="1"/>
  <c r="H1420" i="1"/>
  <c r="I1420" i="1"/>
  <c r="J1420" i="1"/>
  <c r="K1420" i="1"/>
  <c r="M1420" i="1"/>
  <c r="A129" i="1"/>
  <c r="G129" i="1"/>
  <c r="H129" i="1"/>
  <c r="I129" i="1"/>
  <c r="J129" i="1"/>
  <c r="A3830" i="1"/>
  <c r="G3830" i="1"/>
  <c r="H3830" i="1"/>
  <c r="I3830" i="1"/>
  <c r="J3830" i="1"/>
  <c r="K3830" i="1"/>
  <c r="M3830" i="1"/>
  <c r="A2883" i="1"/>
  <c r="G2883" i="1"/>
  <c r="H2883" i="1"/>
  <c r="I2883" i="1"/>
  <c r="J2883" i="1"/>
  <c r="K2883" i="1"/>
  <c r="M2883" i="1"/>
  <c r="A4542" i="1"/>
  <c r="G4542" i="1"/>
  <c r="H4542" i="1"/>
  <c r="I4542" i="1"/>
  <c r="J4542" i="1"/>
  <c r="K4542" i="1"/>
  <c r="M4542" i="1"/>
  <c r="A1421" i="1"/>
  <c r="G1421" i="1"/>
  <c r="H1421" i="1"/>
  <c r="I1421" i="1"/>
  <c r="J1421" i="1"/>
  <c r="M1421" i="1"/>
  <c r="A1422" i="1"/>
  <c r="G1422" i="1"/>
  <c r="H1422" i="1"/>
  <c r="I1422" i="1"/>
  <c r="J1422" i="1"/>
  <c r="K1422" i="1"/>
  <c r="M1422" i="1"/>
  <c r="A1423" i="1"/>
  <c r="G1423" i="1"/>
  <c r="H1423" i="1"/>
  <c r="I1423" i="1"/>
  <c r="J1423" i="1"/>
  <c r="M1423" i="1"/>
  <c r="A1424" i="1"/>
  <c r="G1424" i="1"/>
  <c r="H1424" i="1"/>
  <c r="I1424" i="1"/>
  <c r="J1424" i="1"/>
  <c r="K1424" i="1"/>
  <c r="M1424" i="1"/>
  <c r="A1425" i="1"/>
  <c r="G1425" i="1"/>
  <c r="H1425" i="1"/>
  <c r="I1425" i="1"/>
  <c r="J1425" i="1"/>
  <c r="K1425" i="1"/>
  <c r="M1425" i="1"/>
  <c r="A2812" i="1"/>
  <c r="G2812" i="1"/>
  <c r="H2812" i="1"/>
  <c r="I2812" i="1"/>
  <c r="J2812" i="1"/>
  <c r="K2812" i="1"/>
  <c r="M2812" i="1"/>
  <c r="A1426" i="1"/>
  <c r="G1426" i="1"/>
  <c r="H1426" i="1"/>
  <c r="I1426" i="1"/>
  <c r="J1426" i="1"/>
  <c r="M1426" i="1"/>
  <c r="A3831" i="1"/>
  <c r="G3831" i="1"/>
  <c r="H3831" i="1"/>
  <c r="I3831" i="1"/>
  <c r="J3831" i="1"/>
  <c r="K3831" i="1"/>
  <c r="M3831" i="1"/>
  <c r="A3832" i="1"/>
  <c r="G3832" i="1"/>
  <c r="H3832" i="1"/>
  <c r="I3832" i="1"/>
  <c r="J3832" i="1"/>
  <c r="A3833" i="1"/>
  <c r="G3833" i="1"/>
  <c r="H3833" i="1"/>
  <c r="I3833" i="1"/>
  <c r="J3833" i="1"/>
  <c r="K3833" i="1"/>
  <c r="M3833" i="1"/>
  <c r="A3834" i="1"/>
  <c r="G3834" i="1"/>
  <c r="H3834" i="1"/>
  <c r="I3834" i="1"/>
  <c r="J3834" i="1"/>
  <c r="K3834" i="1"/>
  <c r="M3834" i="1"/>
  <c r="A2492" i="1"/>
  <c r="G2492" i="1"/>
  <c r="H2492" i="1"/>
  <c r="I2492" i="1"/>
  <c r="J2492" i="1"/>
  <c r="K2492" i="1"/>
  <c r="M2492" i="1"/>
  <c r="A4802" i="1"/>
  <c r="G4802" i="1"/>
  <c r="H4802" i="1"/>
  <c r="I4802" i="1"/>
  <c r="J4802" i="1"/>
  <c r="K4802" i="1"/>
  <c r="M4802" i="1"/>
  <c r="A1427" i="1"/>
  <c r="G1427" i="1"/>
  <c r="H1427" i="1"/>
  <c r="I1427" i="1"/>
  <c r="J1427" i="1"/>
  <c r="K1427" i="1"/>
  <c r="M1427" i="1"/>
  <c r="A1428" i="1"/>
  <c r="G1428" i="1"/>
  <c r="H1428" i="1"/>
  <c r="I1428" i="1"/>
  <c r="J1428" i="1"/>
  <c r="K1428" i="1"/>
  <c r="M1428" i="1"/>
  <c r="A1429" i="1"/>
  <c r="G1429" i="1"/>
  <c r="H1429" i="1"/>
  <c r="I1429" i="1"/>
  <c r="J1429" i="1"/>
  <c r="M1429" i="1"/>
  <c r="A1430" i="1"/>
  <c r="G1430" i="1"/>
  <c r="H1430" i="1"/>
  <c r="I1430" i="1"/>
  <c r="J1430" i="1"/>
  <c r="M1430" i="1"/>
  <c r="A2493" i="1"/>
  <c r="G2493" i="1"/>
  <c r="H2493" i="1"/>
  <c r="I2493" i="1"/>
  <c r="J2493" i="1"/>
  <c r="K2493" i="1"/>
  <c r="M2493" i="1"/>
  <c r="A3835" i="1"/>
  <c r="G3835" i="1"/>
  <c r="H3835" i="1"/>
  <c r="I3835" i="1"/>
  <c r="J3835" i="1"/>
  <c r="A1431" i="1"/>
  <c r="G1431" i="1"/>
  <c r="H1431" i="1"/>
  <c r="I1431" i="1"/>
  <c r="J1431" i="1"/>
  <c r="K1431" i="1"/>
  <c r="M1431" i="1"/>
  <c r="A4543" i="1"/>
  <c r="G4543" i="1"/>
  <c r="H4543" i="1"/>
  <c r="I4543" i="1"/>
  <c r="J4543" i="1"/>
  <c r="K4543" i="1"/>
  <c r="M4543" i="1"/>
  <c r="A4544" i="1"/>
  <c r="G4544" i="1"/>
  <c r="H4544" i="1"/>
  <c r="I4544" i="1"/>
  <c r="J4544" i="1"/>
  <c r="M4544" i="1"/>
  <c r="A4171" i="1"/>
  <c r="G4171" i="1"/>
  <c r="H4171" i="1"/>
  <c r="I4171" i="1"/>
  <c r="J4171" i="1"/>
  <c r="K4171" i="1"/>
  <c r="M4171" i="1"/>
  <c r="A3836" i="1"/>
  <c r="G3836" i="1"/>
  <c r="H3836" i="1"/>
  <c r="I3836" i="1"/>
  <c r="J3836" i="1"/>
  <c r="K3836" i="1"/>
  <c r="M3836" i="1"/>
  <c r="A3837" i="1"/>
  <c r="G3837" i="1"/>
  <c r="H3837" i="1"/>
  <c r="I3837" i="1"/>
  <c r="J3837" i="1"/>
  <c r="K3837" i="1"/>
  <c r="M3837" i="1"/>
  <c r="A2494" i="1"/>
  <c r="G2494" i="1"/>
  <c r="H2494" i="1"/>
  <c r="I2494" i="1"/>
  <c r="J2494" i="1"/>
  <c r="K2494" i="1"/>
  <c r="L2494" i="1"/>
  <c r="M2494" i="1"/>
  <c r="A4755" i="1"/>
  <c r="G4755" i="1"/>
  <c r="H4755" i="1"/>
  <c r="I4755" i="1"/>
  <c r="J4755" i="1"/>
  <c r="M4755" i="1"/>
  <c r="A1432" i="1"/>
  <c r="G1432" i="1"/>
  <c r="H1432" i="1"/>
  <c r="I1432" i="1"/>
  <c r="J1432" i="1"/>
  <c r="K1432" i="1"/>
  <c r="M1432" i="1"/>
  <c r="A1433" i="1"/>
  <c r="G1433" i="1"/>
  <c r="H1433" i="1"/>
  <c r="I1433" i="1"/>
  <c r="J1433" i="1"/>
  <c r="L1433" i="1"/>
  <c r="M1433" i="1"/>
  <c r="A1434" i="1"/>
  <c r="G1434" i="1"/>
  <c r="H1434" i="1"/>
  <c r="I1434" i="1"/>
  <c r="J1434" i="1"/>
  <c r="M1434" i="1"/>
  <c r="A2495" i="1"/>
  <c r="G2495" i="1"/>
  <c r="H2495" i="1"/>
  <c r="I2495" i="1"/>
  <c r="J2495" i="1"/>
  <c r="K2495" i="1"/>
  <c r="M2495" i="1"/>
  <c r="A4270" i="1"/>
  <c r="G4270" i="1"/>
  <c r="H4270" i="1"/>
  <c r="I4270" i="1"/>
  <c r="J4270" i="1"/>
  <c r="A1435" i="1"/>
  <c r="G1435" i="1"/>
  <c r="H1435" i="1"/>
  <c r="I1435" i="1"/>
  <c r="J1435" i="1"/>
  <c r="M1435" i="1"/>
  <c r="A1436" i="1"/>
  <c r="G1436" i="1"/>
  <c r="H1436" i="1"/>
  <c r="I1436" i="1"/>
  <c r="J1436" i="1"/>
  <c r="K1436" i="1"/>
  <c r="M1436" i="1"/>
  <c r="A1437" i="1"/>
  <c r="G1437" i="1"/>
  <c r="H1437" i="1"/>
  <c r="I1437" i="1"/>
  <c r="J1437" i="1"/>
  <c r="K1437" i="1"/>
  <c r="M1437" i="1"/>
  <c r="A1438" i="1"/>
  <c r="G1438" i="1"/>
  <c r="H1438" i="1"/>
  <c r="I1438" i="1"/>
  <c r="J1438" i="1"/>
  <c r="M1438" i="1"/>
  <c r="A1439" i="1"/>
  <c r="G1439" i="1"/>
  <c r="H1439" i="1"/>
  <c r="I1439" i="1"/>
  <c r="J1439" i="1"/>
  <c r="K1439" i="1"/>
  <c r="M1439" i="1"/>
  <c r="A1440" i="1"/>
  <c r="G1440" i="1"/>
  <c r="H1440" i="1"/>
  <c r="I1440" i="1"/>
  <c r="J1440" i="1"/>
  <c r="L1440" i="1"/>
  <c r="M1440" i="1"/>
  <c r="A3838" i="1"/>
  <c r="G3838" i="1"/>
  <c r="H3838" i="1"/>
  <c r="I3838" i="1"/>
  <c r="J3838" i="1"/>
  <c r="A4545" i="1"/>
  <c r="G4545" i="1"/>
  <c r="H4545" i="1"/>
  <c r="I4545" i="1"/>
  <c r="J4545" i="1"/>
  <c r="K4545" i="1"/>
  <c r="M4545" i="1"/>
  <c r="A3839" i="1"/>
  <c r="G3839" i="1"/>
  <c r="H3839" i="1"/>
  <c r="I3839" i="1"/>
  <c r="J3839" i="1"/>
  <c r="A3840" i="1"/>
  <c r="G3840" i="1"/>
  <c r="H3840" i="1"/>
  <c r="I3840" i="1"/>
  <c r="J3840" i="1"/>
  <c r="A130" i="1"/>
  <c r="G130" i="1"/>
  <c r="H130" i="1"/>
  <c r="I130" i="1"/>
  <c r="J130" i="1"/>
  <c r="K130" i="1"/>
  <c r="M130" i="1"/>
  <c r="A4546" i="1"/>
  <c r="G4546" i="1"/>
  <c r="H4546" i="1"/>
  <c r="I4546" i="1"/>
  <c r="J4546" i="1"/>
  <c r="K4546" i="1"/>
  <c r="M4546" i="1"/>
  <c r="A1441" i="1"/>
  <c r="G1441" i="1"/>
  <c r="H1441" i="1"/>
  <c r="I1441" i="1"/>
  <c r="J1441" i="1"/>
  <c r="K1441" i="1"/>
  <c r="M1441" i="1"/>
  <c r="A3841" i="1"/>
  <c r="G3841" i="1"/>
  <c r="H3841" i="1"/>
  <c r="I3841" i="1"/>
  <c r="J3841" i="1"/>
  <c r="A1442" i="1"/>
  <c r="G1442" i="1"/>
  <c r="H1442" i="1"/>
  <c r="I1442" i="1"/>
  <c r="J1442" i="1"/>
  <c r="M1442" i="1"/>
  <c r="A4547" i="1"/>
  <c r="G4547" i="1"/>
  <c r="H4547" i="1"/>
  <c r="I4547" i="1"/>
  <c r="J4547" i="1"/>
  <c r="K4547" i="1"/>
  <c r="M4547" i="1"/>
  <c r="A1443" i="1"/>
  <c r="G1443" i="1"/>
  <c r="H1443" i="1"/>
  <c r="I1443" i="1"/>
  <c r="J1443" i="1"/>
  <c r="M1443" i="1"/>
  <c r="A1444" i="1"/>
  <c r="G1444" i="1"/>
  <c r="H1444" i="1"/>
  <c r="I1444" i="1"/>
  <c r="J1444" i="1"/>
  <c r="K1444" i="1"/>
  <c r="M1444" i="1"/>
  <c r="A4271" i="1"/>
  <c r="G4271" i="1"/>
  <c r="H4271" i="1"/>
  <c r="I4271" i="1"/>
  <c r="J4271" i="1"/>
  <c r="K4271" i="1"/>
  <c r="M4271" i="1"/>
  <c r="A2496" i="1"/>
  <c r="G2496" i="1"/>
  <c r="H2496" i="1"/>
  <c r="I2496" i="1"/>
  <c r="J2496" i="1"/>
  <c r="K2496" i="1"/>
  <c r="M2496" i="1"/>
  <c r="A3842" i="1"/>
  <c r="G3842" i="1"/>
  <c r="H3842" i="1"/>
  <c r="I3842" i="1"/>
  <c r="J3842" i="1"/>
  <c r="A4756" i="1"/>
  <c r="G4756" i="1"/>
  <c r="H4756" i="1"/>
  <c r="I4756" i="1"/>
  <c r="J4756" i="1"/>
  <c r="M4756" i="1"/>
  <c r="A1445" i="1"/>
  <c r="G1445" i="1"/>
  <c r="H1445" i="1"/>
  <c r="I1445" i="1"/>
  <c r="J1445" i="1"/>
  <c r="K1445" i="1"/>
  <c r="M1445" i="1"/>
  <c r="A1446" i="1"/>
  <c r="G1446" i="1"/>
  <c r="H1446" i="1"/>
  <c r="I1446" i="1"/>
  <c r="J1446" i="1"/>
  <c r="K1446" i="1"/>
  <c r="M1446" i="1"/>
  <c r="A3843" i="1"/>
  <c r="G3843" i="1"/>
  <c r="H3843" i="1"/>
  <c r="I3843" i="1"/>
  <c r="J3843" i="1"/>
  <c r="K3843" i="1"/>
  <c r="M3843" i="1"/>
  <c r="A1447" i="1"/>
  <c r="G1447" i="1"/>
  <c r="H1447" i="1"/>
  <c r="I1447" i="1"/>
  <c r="J1447" i="1"/>
  <c r="K1447" i="1"/>
  <c r="M1447" i="1"/>
  <c r="A1448" i="1"/>
  <c r="G1448" i="1"/>
  <c r="H1448" i="1"/>
  <c r="I1448" i="1"/>
  <c r="J1448" i="1"/>
  <c r="K1448" i="1"/>
  <c r="M1448" i="1"/>
  <c r="A3844" i="1"/>
  <c r="G3844" i="1"/>
  <c r="H3844" i="1"/>
  <c r="I3844" i="1"/>
  <c r="J3844" i="1"/>
  <c r="A2497" i="1"/>
  <c r="G2497" i="1"/>
  <c r="H2497" i="1"/>
  <c r="I2497" i="1"/>
  <c r="J2497" i="1"/>
  <c r="K2497" i="1"/>
  <c r="M2497" i="1"/>
  <c r="A3845" i="1"/>
  <c r="G3845" i="1"/>
  <c r="H3845" i="1"/>
  <c r="I3845" i="1"/>
  <c r="J3845" i="1"/>
  <c r="K3845" i="1"/>
  <c r="M3845" i="1"/>
  <c r="A3846" i="1"/>
  <c r="G3846" i="1"/>
  <c r="H3846" i="1"/>
  <c r="I3846" i="1"/>
  <c r="J3846" i="1"/>
  <c r="A1449" i="1"/>
  <c r="G1449" i="1"/>
  <c r="H1449" i="1"/>
  <c r="I1449" i="1"/>
  <c r="J1449" i="1"/>
  <c r="K1449" i="1"/>
  <c r="M1449" i="1"/>
  <c r="A3847" i="1"/>
  <c r="G3847" i="1"/>
  <c r="H3847" i="1"/>
  <c r="I3847" i="1"/>
  <c r="J3847" i="1"/>
  <c r="K3847" i="1"/>
  <c r="M3847" i="1"/>
  <c r="A2498" i="1"/>
  <c r="G2498" i="1"/>
  <c r="H2498" i="1"/>
  <c r="I2498" i="1"/>
  <c r="J2498" i="1"/>
  <c r="K2498" i="1"/>
  <c r="M2498" i="1"/>
  <c r="A1450" i="1"/>
  <c r="G1450" i="1"/>
  <c r="H1450" i="1"/>
  <c r="I1450" i="1"/>
  <c r="J1450" i="1"/>
  <c r="K1450" i="1"/>
  <c r="M1450" i="1"/>
  <c r="A1451" i="1"/>
  <c r="G1451" i="1"/>
  <c r="H1451" i="1"/>
  <c r="I1451" i="1"/>
  <c r="J1451" i="1"/>
  <c r="M1451" i="1"/>
  <c r="A4272" i="1"/>
  <c r="G4272" i="1"/>
  <c r="H4272" i="1"/>
  <c r="I4272" i="1"/>
  <c r="J4272" i="1"/>
  <c r="K4272" i="1"/>
  <c r="M4272" i="1"/>
  <c r="A1452" i="1"/>
  <c r="G1452" i="1"/>
  <c r="H1452" i="1"/>
  <c r="I1452" i="1"/>
  <c r="J1452" i="1"/>
  <c r="K1452" i="1"/>
  <c r="M1452" i="1"/>
  <c r="A1453" i="1"/>
  <c r="G1453" i="1"/>
  <c r="H1453" i="1"/>
  <c r="I1453" i="1"/>
  <c r="J1453" i="1"/>
  <c r="K1453" i="1"/>
  <c r="M1453" i="1"/>
  <c r="A3848" i="1"/>
  <c r="G3848" i="1"/>
  <c r="H3848" i="1"/>
  <c r="I3848" i="1"/>
  <c r="J3848" i="1"/>
  <c r="A2499" i="1"/>
  <c r="G2499" i="1"/>
  <c r="H2499" i="1"/>
  <c r="I2499" i="1"/>
  <c r="J2499" i="1"/>
  <c r="K2499" i="1"/>
  <c r="M2499" i="1"/>
  <c r="A1454" i="1"/>
  <c r="G1454" i="1"/>
  <c r="H1454" i="1"/>
  <c r="I1454" i="1"/>
  <c r="J1454" i="1"/>
  <c r="K1454" i="1"/>
  <c r="M1454" i="1"/>
  <c r="A1455" i="1"/>
  <c r="G1455" i="1"/>
  <c r="H1455" i="1"/>
  <c r="I1455" i="1"/>
  <c r="J1455" i="1"/>
  <c r="K1455" i="1"/>
  <c r="M1455" i="1"/>
  <c r="A4311" i="1"/>
  <c r="G4311" i="1"/>
  <c r="H4311" i="1"/>
  <c r="I4311" i="1"/>
  <c r="J4311" i="1"/>
  <c r="K4311" i="1"/>
  <c r="M4311" i="1"/>
  <c r="A1456" i="1"/>
  <c r="G1456" i="1"/>
  <c r="H1456" i="1"/>
  <c r="I1456" i="1"/>
  <c r="J1456" i="1"/>
  <c r="K1456" i="1"/>
  <c r="M1456" i="1"/>
  <c r="A3849" i="1"/>
  <c r="G3849" i="1"/>
  <c r="H3849" i="1"/>
  <c r="I3849" i="1"/>
  <c r="J3849" i="1"/>
  <c r="A3850" i="1"/>
  <c r="G3850" i="1"/>
  <c r="H3850" i="1"/>
  <c r="I3850" i="1"/>
  <c r="J3850" i="1"/>
  <c r="A2500" i="1"/>
  <c r="G2500" i="1"/>
  <c r="H2500" i="1"/>
  <c r="I2500" i="1"/>
  <c r="J2500" i="1"/>
  <c r="K2500" i="1"/>
  <c r="M2500" i="1"/>
  <c r="A1457" i="1"/>
  <c r="G1457" i="1"/>
  <c r="H1457" i="1"/>
  <c r="I1457" i="1"/>
  <c r="J1457" i="1"/>
  <c r="M1457" i="1"/>
  <c r="A1458" i="1"/>
  <c r="G1458" i="1"/>
  <c r="H1458" i="1"/>
  <c r="I1458" i="1"/>
  <c r="J1458" i="1"/>
  <c r="K1458" i="1"/>
  <c r="M1458" i="1"/>
  <c r="A1459" i="1"/>
  <c r="G1459" i="1"/>
  <c r="H1459" i="1"/>
  <c r="I1459" i="1"/>
  <c r="J1459" i="1"/>
  <c r="K1459" i="1"/>
  <c r="M1459" i="1"/>
  <c r="A1460" i="1"/>
  <c r="G1460" i="1"/>
  <c r="H1460" i="1"/>
  <c r="I1460" i="1"/>
  <c r="J1460" i="1"/>
  <c r="K1460" i="1"/>
  <c r="M1460" i="1"/>
  <c r="A1461" i="1"/>
  <c r="G1461" i="1"/>
  <c r="H1461" i="1"/>
  <c r="I1461" i="1"/>
  <c r="J1461" i="1"/>
  <c r="M1461" i="1"/>
  <c r="A2501" i="1"/>
  <c r="G2501" i="1"/>
  <c r="H2501" i="1"/>
  <c r="I2501" i="1"/>
  <c r="J2501" i="1"/>
  <c r="K2501" i="1"/>
  <c r="M2501" i="1"/>
  <c r="A3851" i="1"/>
  <c r="G3851" i="1"/>
  <c r="H3851" i="1"/>
  <c r="I3851" i="1"/>
  <c r="J3851" i="1"/>
  <c r="K3851" i="1"/>
  <c r="M3851" i="1"/>
  <c r="A4548" i="1"/>
  <c r="G4548" i="1"/>
  <c r="H4548" i="1"/>
  <c r="I4548" i="1"/>
  <c r="J4548" i="1"/>
  <c r="K4548" i="1"/>
  <c r="M4548" i="1"/>
  <c r="A2502" i="1"/>
  <c r="G2502" i="1"/>
  <c r="H2502" i="1"/>
  <c r="I2502" i="1"/>
  <c r="J2502" i="1"/>
  <c r="A3852" i="1"/>
  <c r="G3852" i="1"/>
  <c r="H3852" i="1"/>
  <c r="I3852" i="1"/>
  <c r="J3852" i="1"/>
  <c r="A1462" i="1"/>
  <c r="G1462" i="1"/>
  <c r="H1462" i="1"/>
  <c r="I1462" i="1"/>
  <c r="J1462" i="1"/>
  <c r="K1462" i="1"/>
  <c r="M1462" i="1"/>
  <c r="A2503" i="1"/>
  <c r="G2503" i="1"/>
  <c r="H2503" i="1"/>
  <c r="I2503" i="1"/>
  <c r="J2503" i="1"/>
  <c r="M2503" i="1"/>
  <c r="A2504" i="1"/>
  <c r="G2504" i="1"/>
  <c r="H2504" i="1"/>
  <c r="I2504" i="1"/>
  <c r="J2504" i="1"/>
  <c r="A1463" i="1"/>
  <c r="G1463" i="1"/>
  <c r="H1463" i="1"/>
  <c r="I1463" i="1"/>
  <c r="J1463" i="1"/>
  <c r="K1463" i="1"/>
  <c r="M1463" i="1"/>
  <c r="A4549" i="1"/>
  <c r="G4549" i="1"/>
  <c r="H4549" i="1"/>
  <c r="I4549" i="1"/>
  <c r="J4549" i="1"/>
  <c r="K4549" i="1"/>
  <c r="M4549" i="1"/>
  <c r="A1464" i="1"/>
  <c r="G1464" i="1"/>
  <c r="H1464" i="1"/>
  <c r="I1464" i="1"/>
  <c r="J1464" i="1"/>
  <c r="K1464" i="1"/>
  <c r="M1464" i="1"/>
  <c r="A3853" i="1"/>
  <c r="G3853" i="1"/>
  <c r="H3853" i="1"/>
  <c r="I3853" i="1"/>
  <c r="J3853" i="1"/>
  <c r="A4550" i="1"/>
  <c r="G4550" i="1"/>
  <c r="H4550" i="1"/>
  <c r="I4550" i="1"/>
  <c r="J4550" i="1"/>
  <c r="K4550" i="1"/>
  <c r="M4550" i="1"/>
  <c r="A1465" i="1"/>
  <c r="G1465" i="1"/>
  <c r="H1465" i="1"/>
  <c r="I1465" i="1"/>
  <c r="J1465" i="1"/>
  <c r="K1465" i="1"/>
  <c r="M1465" i="1"/>
  <c r="A2884" i="1"/>
  <c r="G2884" i="1"/>
  <c r="H2884" i="1"/>
  <c r="I2884" i="1"/>
  <c r="J2884" i="1"/>
  <c r="K2884" i="1"/>
  <c r="M2884" i="1"/>
  <c r="A1466" i="1"/>
  <c r="G1466" i="1"/>
  <c r="H1466" i="1"/>
  <c r="I1466" i="1"/>
  <c r="J1466" i="1"/>
  <c r="M1466" i="1"/>
  <c r="A3854" i="1"/>
  <c r="G3854" i="1"/>
  <c r="H3854" i="1"/>
  <c r="I3854" i="1"/>
  <c r="J3854" i="1"/>
  <c r="K3854" i="1"/>
  <c r="M3854" i="1"/>
  <c r="A3855" i="1"/>
  <c r="G3855" i="1"/>
  <c r="H3855" i="1"/>
  <c r="I3855" i="1"/>
  <c r="J3855" i="1"/>
  <c r="K3855" i="1"/>
  <c r="M3855" i="1"/>
  <c r="A1467" i="1"/>
  <c r="G1467" i="1"/>
  <c r="H1467" i="1"/>
  <c r="I1467" i="1"/>
  <c r="J1467" i="1"/>
  <c r="K1467" i="1"/>
  <c r="M1467" i="1"/>
  <c r="A1468" i="1"/>
  <c r="G1468" i="1"/>
  <c r="H1468" i="1"/>
  <c r="I1468" i="1"/>
  <c r="J1468" i="1"/>
  <c r="L1468" i="1"/>
  <c r="M1468" i="1"/>
  <c r="A2505" i="1"/>
  <c r="G2505" i="1"/>
  <c r="H2505" i="1"/>
  <c r="I2505" i="1"/>
  <c r="J2505" i="1"/>
  <c r="K2505" i="1"/>
  <c r="M2505" i="1"/>
  <c r="A1469" i="1"/>
  <c r="G1469" i="1"/>
  <c r="H1469" i="1"/>
  <c r="I1469" i="1"/>
  <c r="J1469" i="1"/>
  <c r="K1469" i="1"/>
  <c r="M1469" i="1"/>
  <c r="A2885" i="1"/>
  <c r="G2885" i="1"/>
  <c r="H2885" i="1"/>
  <c r="I2885" i="1"/>
  <c r="J2885" i="1"/>
  <c r="K2885" i="1"/>
  <c r="L2885" i="1"/>
  <c r="M2885" i="1"/>
  <c r="A131" i="1"/>
  <c r="G131" i="1"/>
  <c r="H131" i="1"/>
  <c r="I131" i="1"/>
  <c r="J131" i="1"/>
  <c r="K131" i="1"/>
  <c r="M131" i="1"/>
  <c r="A4551" i="1"/>
  <c r="G4551" i="1"/>
  <c r="H4551" i="1"/>
  <c r="I4551" i="1"/>
  <c r="J4551" i="1"/>
  <c r="K4551" i="1"/>
  <c r="M4551" i="1"/>
  <c r="A1470" i="1"/>
  <c r="G1470" i="1"/>
  <c r="H1470" i="1"/>
  <c r="I1470" i="1"/>
  <c r="J1470" i="1"/>
  <c r="K1470" i="1"/>
  <c r="M1470" i="1"/>
  <c r="A1471" i="1"/>
  <c r="G1471" i="1"/>
  <c r="H1471" i="1"/>
  <c r="I1471" i="1"/>
  <c r="J1471" i="1"/>
  <c r="K1471" i="1"/>
  <c r="M1471" i="1"/>
  <c r="A4172" i="1"/>
  <c r="G4172" i="1"/>
  <c r="H4172" i="1"/>
  <c r="I4172" i="1"/>
  <c r="J4172" i="1"/>
  <c r="K4172" i="1"/>
  <c r="M4172" i="1"/>
  <c r="A1472" i="1"/>
  <c r="G1472" i="1"/>
  <c r="H1472" i="1"/>
  <c r="I1472" i="1"/>
  <c r="J1472" i="1"/>
  <c r="M1472" i="1"/>
  <c r="A3856" i="1"/>
  <c r="G3856" i="1"/>
  <c r="H3856" i="1"/>
  <c r="I3856" i="1"/>
  <c r="J3856" i="1"/>
  <c r="K3856" i="1"/>
  <c r="M3856" i="1"/>
  <c r="A2506" i="1"/>
  <c r="G2506" i="1"/>
  <c r="H2506" i="1"/>
  <c r="I2506" i="1"/>
  <c r="J2506" i="1"/>
  <c r="A1473" i="1"/>
  <c r="G1473" i="1"/>
  <c r="H1473" i="1"/>
  <c r="I1473" i="1"/>
  <c r="J1473" i="1"/>
  <c r="K1473" i="1"/>
  <c r="M1473" i="1"/>
  <c r="A1474" i="1"/>
  <c r="G1474" i="1"/>
  <c r="H1474" i="1"/>
  <c r="I1474" i="1"/>
  <c r="J1474" i="1"/>
  <c r="M1474" i="1"/>
  <c r="A3857" i="1"/>
  <c r="G3857" i="1"/>
  <c r="H3857" i="1"/>
  <c r="I3857" i="1"/>
  <c r="J3857" i="1"/>
  <c r="A2507" i="1"/>
  <c r="G2507" i="1"/>
  <c r="H2507" i="1"/>
  <c r="I2507" i="1"/>
  <c r="J2507" i="1"/>
  <c r="K2507" i="1"/>
  <c r="M2507" i="1"/>
  <c r="A2508" i="1"/>
  <c r="G2508" i="1"/>
  <c r="H2508" i="1"/>
  <c r="I2508" i="1"/>
  <c r="J2508" i="1"/>
  <c r="K2508" i="1"/>
  <c r="M2508" i="1"/>
  <c r="A2886" i="1"/>
  <c r="G2886" i="1"/>
  <c r="H2886" i="1"/>
  <c r="I2886" i="1"/>
  <c r="J2886" i="1"/>
  <c r="K2886" i="1"/>
  <c r="M2886" i="1"/>
  <c r="A4173" i="1"/>
  <c r="G4173" i="1"/>
  <c r="H4173" i="1"/>
  <c r="I4173" i="1"/>
  <c r="J4173" i="1"/>
  <c r="K4173" i="1"/>
  <c r="M4173" i="1"/>
  <c r="A1475" i="1"/>
  <c r="G1475" i="1"/>
  <c r="H1475" i="1"/>
  <c r="I1475" i="1"/>
  <c r="J1475" i="1"/>
  <c r="K1475" i="1"/>
  <c r="M1475" i="1"/>
  <c r="A1476" i="1"/>
  <c r="G1476" i="1"/>
  <c r="H1476" i="1"/>
  <c r="I1476" i="1"/>
  <c r="J1476" i="1"/>
  <c r="K1476" i="1"/>
  <c r="M1476" i="1"/>
  <c r="A3858" i="1"/>
  <c r="G3858" i="1"/>
  <c r="H3858" i="1"/>
  <c r="I3858" i="1"/>
  <c r="J3858" i="1"/>
  <c r="K3858" i="1"/>
  <c r="M3858" i="1"/>
  <c r="A1477" i="1"/>
  <c r="G1477" i="1"/>
  <c r="H1477" i="1"/>
  <c r="I1477" i="1"/>
  <c r="J1477" i="1"/>
  <c r="M1477" i="1"/>
  <c r="A2509" i="1"/>
  <c r="G2509" i="1"/>
  <c r="H2509" i="1"/>
  <c r="I2509" i="1"/>
  <c r="J2509" i="1"/>
  <c r="K2509" i="1"/>
  <c r="M2509" i="1"/>
  <c r="A3859" i="1"/>
  <c r="G3859" i="1"/>
  <c r="H3859" i="1"/>
  <c r="I3859" i="1"/>
  <c r="J3859" i="1"/>
  <c r="A2887" i="1"/>
  <c r="G2887" i="1"/>
  <c r="H2887" i="1"/>
  <c r="I2887" i="1"/>
  <c r="J2887" i="1"/>
  <c r="K2887" i="1"/>
  <c r="M2887" i="1"/>
  <c r="A1478" i="1"/>
  <c r="G1478" i="1"/>
  <c r="H1478" i="1"/>
  <c r="I1478" i="1"/>
  <c r="J1478" i="1"/>
  <c r="K1478" i="1"/>
  <c r="M1478" i="1"/>
  <c r="A132" i="1"/>
  <c r="G132" i="1"/>
  <c r="H132" i="1"/>
  <c r="I132" i="1"/>
  <c r="J132" i="1"/>
  <c r="A1479" i="1"/>
  <c r="G1479" i="1"/>
  <c r="H1479" i="1"/>
  <c r="I1479" i="1"/>
  <c r="J1479" i="1"/>
  <c r="M1479" i="1"/>
  <c r="A1480" i="1"/>
  <c r="G1480" i="1"/>
  <c r="H1480" i="1"/>
  <c r="I1480" i="1"/>
  <c r="J1480" i="1"/>
  <c r="K1480" i="1"/>
  <c r="M1480" i="1"/>
  <c r="A4552" i="1"/>
  <c r="G4552" i="1"/>
  <c r="H4552" i="1"/>
  <c r="I4552" i="1"/>
  <c r="J4552" i="1"/>
  <c r="M4552" i="1"/>
  <c r="A1481" i="1"/>
  <c r="G1481" i="1"/>
  <c r="H1481" i="1"/>
  <c r="I1481" i="1"/>
  <c r="J1481" i="1"/>
  <c r="M1481" i="1"/>
  <c r="A133" i="1"/>
  <c r="G133" i="1"/>
  <c r="H133" i="1"/>
  <c r="I133" i="1"/>
  <c r="J133" i="1"/>
  <c r="K133" i="1"/>
  <c r="M133" i="1"/>
  <c r="A134" i="1"/>
  <c r="G134" i="1"/>
  <c r="H134" i="1"/>
  <c r="I134" i="1"/>
  <c r="J134" i="1"/>
  <c r="K134" i="1"/>
  <c r="M134" i="1"/>
  <c r="A1482" i="1"/>
  <c r="G1482" i="1"/>
  <c r="H1482" i="1"/>
  <c r="I1482" i="1"/>
  <c r="J1482" i="1"/>
  <c r="M1482" i="1"/>
  <c r="A3860" i="1"/>
  <c r="G3860" i="1"/>
  <c r="H3860" i="1"/>
  <c r="I3860" i="1"/>
  <c r="J3860" i="1"/>
  <c r="A4273" i="1"/>
  <c r="G4273" i="1"/>
  <c r="H4273" i="1"/>
  <c r="I4273" i="1"/>
  <c r="J4273" i="1"/>
  <c r="K4273" i="1"/>
  <c r="M4273" i="1"/>
  <c r="A3861" i="1"/>
  <c r="G3861" i="1"/>
  <c r="H3861" i="1"/>
  <c r="I3861" i="1"/>
  <c r="J3861" i="1"/>
  <c r="K3861" i="1"/>
  <c r="M3861" i="1"/>
  <c r="A1483" i="1"/>
  <c r="G1483" i="1"/>
  <c r="H1483" i="1"/>
  <c r="I1483" i="1"/>
  <c r="J1483" i="1"/>
  <c r="K1483" i="1"/>
  <c r="M1483" i="1"/>
  <c r="A4274" i="1"/>
  <c r="G4274" i="1"/>
  <c r="H4274" i="1"/>
  <c r="I4274" i="1"/>
  <c r="J4274" i="1"/>
  <c r="A3862" i="1"/>
  <c r="G3862" i="1"/>
  <c r="H3862" i="1"/>
  <c r="I3862" i="1"/>
  <c r="J3862" i="1"/>
  <c r="K3862" i="1"/>
  <c r="M3862" i="1"/>
  <c r="A3863" i="1"/>
  <c r="G3863" i="1"/>
  <c r="H3863" i="1"/>
  <c r="I3863" i="1"/>
  <c r="J3863" i="1"/>
  <c r="K3863" i="1"/>
  <c r="M3863" i="1"/>
  <c r="A1484" i="1"/>
  <c r="G1484" i="1"/>
  <c r="H1484" i="1"/>
  <c r="I1484" i="1"/>
  <c r="J1484" i="1"/>
  <c r="K1484" i="1"/>
  <c r="M1484" i="1"/>
  <c r="A3864" i="1"/>
  <c r="G3864" i="1"/>
  <c r="H3864" i="1"/>
  <c r="I3864" i="1"/>
  <c r="J3864" i="1"/>
  <c r="K3864" i="1"/>
  <c r="M3864" i="1"/>
  <c r="A1485" i="1"/>
  <c r="G1485" i="1"/>
  <c r="H1485" i="1"/>
  <c r="I1485" i="1"/>
  <c r="J1485" i="1"/>
  <c r="K1485" i="1"/>
  <c r="M1485" i="1"/>
  <c r="A3865" i="1"/>
  <c r="G3865" i="1"/>
  <c r="H3865" i="1"/>
  <c r="I3865" i="1"/>
  <c r="J3865" i="1"/>
  <c r="A2888" i="1"/>
  <c r="G2888" i="1"/>
  <c r="H2888" i="1"/>
  <c r="I2888" i="1"/>
  <c r="J2888" i="1"/>
  <c r="K2888" i="1"/>
  <c r="M2888" i="1"/>
  <c r="A1486" i="1"/>
  <c r="G1486" i="1"/>
  <c r="H1486" i="1"/>
  <c r="I1486" i="1"/>
  <c r="J1486" i="1"/>
  <c r="L1486" i="1"/>
  <c r="M1486" i="1"/>
  <c r="A1487" i="1"/>
  <c r="G1487" i="1"/>
  <c r="H1487" i="1"/>
  <c r="I1487" i="1"/>
  <c r="J1487" i="1"/>
  <c r="K1487" i="1"/>
  <c r="M1487" i="1"/>
  <c r="A1488" i="1"/>
  <c r="G1488" i="1"/>
  <c r="H1488" i="1"/>
  <c r="I1488" i="1"/>
  <c r="J1488" i="1"/>
  <c r="K1488" i="1"/>
  <c r="M1488" i="1"/>
  <c r="A4803" i="1"/>
  <c r="G4803" i="1"/>
  <c r="H4803" i="1"/>
  <c r="I4803" i="1"/>
  <c r="J4803" i="1"/>
  <c r="K4803" i="1"/>
  <c r="M4803" i="1"/>
  <c r="A3866" i="1"/>
  <c r="G3866" i="1"/>
  <c r="H3866" i="1"/>
  <c r="I3866" i="1"/>
  <c r="J3866" i="1"/>
  <c r="K3866" i="1"/>
  <c r="M3866" i="1"/>
  <c r="A1489" i="1"/>
  <c r="G1489" i="1"/>
  <c r="H1489" i="1"/>
  <c r="I1489" i="1"/>
  <c r="J1489" i="1"/>
  <c r="L1489" i="1"/>
  <c r="M1489" i="1"/>
  <c r="A1490" i="1"/>
  <c r="G1490" i="1"/>
  <c r="H1490" i="1"/>
  <c r="I1490" i="1"/>
  <c r="J1490" i="1"/>
  <c r="K1490" i="1"/>
  <c r="M1490" i="1"/>
  <c r="A4275" i="1"/>
  <c r="G4275" i="1"/>
  <c r="H4275" i="1"/>
  <c r="I4275" i="1"/>
  <c r="J4275" i="1"/>
  <c r="K4275" i="1"/>
  <c r="M4275" i="1"/>
  <c r="A3867" i="1"/>
  <c r="G3867" i="1"/>
  <c r="H3867" i="1"/>
  <c r="I3867" i="1"/>
  <c r="J3867" i="1"/>
  <c r="K3867" i="1"/>
  <c r="M3867" i="1"/>
  <c r="A1491" i="1"/>
  <c r="G1491" i="1"/>
  <c r="H1491" i="1"/>
  <c r="I1491" i="1"/>
  <c r="J1491" i="1"/>
  <c r="K1491" i="1"/>
  <c r="M1491" i="1"/>
  <c r="A2510" i="1"/>
  <c r="G2510" i="1"/>
  <c r="H2510" i="1"/>
  <c r="I2510" i="1"/>
  <c r="J2510" i="1"/>
  <c r="K2510" i="1"/>
  <c r="M2510" i="1"/>
  <c r="A2511" i="1"/>
  <c r="G2511" i="1"/>
  <c r="H2511" i="1"/>
  <c r="I2511" i="1"/>
  <c r="J2511" i="1"/>
  <c r="K2511" i="1"/>
  <c r="M2511" i="1"/>
  <c r="A1492" i="1"/>
  <c r="G1492" i="1"/>
  <c r="H1492" i="1"/>
  <c r="I1492" i="1"/>
  <c r="J1492" i="1"/>
  <c r="L1492" i="1"/>
  <c r="M1492" i="1"/>
  <c r="A3868" i="1"/>
  <c r="G3868" i="1"/>
  <c r="H3868" i="1"/>
  <c r="I3868" i="1"/>
  <c r="J3868" i="1"/>
  <c r="A4553" i="1"/>
  <c r="G4553" i="1"/>
  <c r="H4553" i="1"/>
  <c r="I4553" i="1"/>
  <c r="J4553" i="1"/>
  <c r="M4553" i="1"/>
  <c r="A1493" i="1"/>
  <c r="G1493" i="1"/>
  <c r="H1493" i="1"/>
  <c r="I1493" i="1"/>
  <c r="J1493" i="1"/>
  <c r="K1493" i="1"/>
  <c r="M1493" i="1"/>
  <c r="A3869" i="1"/>
  <c r="G3869" i="1"/>
  <c r="H3869" i="1"/>
  <c r="I3869" i="1"/>
  <c r="J3869" i="1"/>
  <c r="A2512" i="1"/>
  <c r="G2512" i="1"/>
  <c r="H2512" i="1"/>
  <c r="I2512" i="1"/>
  <c r="J2512" i="1"/>
  <c r="K2512" i="1"/>
  <c r="M2512" i="1"/>
  <c r="A135" i="1"/>
  <c r="G135" i="1"/>
  <c r="H135" i="1"/>
  <c r="I135" i="1"/>
  <c r="J135" i="1"/>
  <c r="K135" i="1"/>
  <c r="M135" i="1"/>
  <c r="A2513" i="1"/>
  <c r="G2513" i="1"/>
  <c r="H2513" i="1"/>
  <c r="I2513" i="1"/>
  <c r="J2513" i="1"/>
  <c r="K2513" i="1"/>
  <c r="M2513" i="1"/>
  <c r="A2514" i="1"/>
  <c r="G2514" i="1"/>
  <c r="H2514" i="1"/>
  <c r="I2514" i="1"/>
  <c r="J2514" i="1"/>
  <c r="K2514" i="1"/>
  <c r="M2514" i="1"/>
  <c r="A2515" i="1"/>
  <c r="G2515" i="1"/>
  <c r="H2515" i="1"/>
  <c r="I2515" i="1"/>
  <c r="J2515" i="1"/>
  <c r="A2516" i="1"/>
  <c r="G2516" i="1"/>
  <c r="H2516" i="1"/>
  <c r="I2516" i="1"/>
  <c r="J2516" i="1"/>
  <c r="K2516" i="1"/>
  <c r="M2516" i="1"/>
  <c r="A3870" i="1"/>
  <c r="G3870" i="1"/>
  <c r="H3870" i="1"/>
  <c r="I3870" i="1"/>
  <c r="J3870" i="1"/>
  <c r="A4757" i="1"/>
  <c r="G4757" i="1"/>
  <c r="H4757" i="1"/>
  <c r="I4757" i="1"/>
  <c r="J4757" i="1"/>
  <c r="M4757" i="1"/>
  <c r="A3871" i="1"/>
  <c r="G3871" i="1"/>
  <c r="H3871" i="1"/>
  <c r="I3871" i="1"/>
  <c r="J3871" i="1"/>
  <c r="A1494" i="1"/>
  <c r="G1494" i="1"/>
  <c r="H1494" i="1"/>
  <c r="I1494" i="1"/>
  <c r="J1494" i="1"/>
  <c r="M1494" i="1"/>
  <c r="A3872" i="1"/>
  <c r="G3872" i="1"/>
  <c r="H3872" i="1"/>
  <c r="I3872" i="1"/>
  <c r="J3872" i="1"/>
  <c r="K3872" i="1"/>
  <c r="M3872" i="1"/>
  <c r="A1495" i="1"/>
  <c r="G1495" i="1"/>
  <c r="H1495" i="1"/>
  <c r="I1495" i="1"/>
  <c r="J1495" i="1"/>
  <c r="K1495" i="1"/>
  <c r="M1495" i="1"/>
  <c r="A1496" i="1"/>
  <c r="G1496" i="1"/>
  <c r="H1496" i="1"/>
  <c r="I1496" i="1"/>
  <c r="J1496" i="1"/>
  <c r="K1496" i="1"/>
  <c r="M1496" i="1"/>
  <c r="A1497" i="1"/>
  <c r="G1497" i="1"/>
  <c r="H1497" i="1"/>
  <c r="I1497" i="1"/>
  <c r="J1497" i="1"/>
  <c r="K1497" i="1"/>
  <c r="M1497" i="1"/>
  <c r="A3873" i="1"/>
  <c r="G3873" i="1"/>
  <c r="H3873" i="1"/>
  <c r="I3873" i="1"/>
  <c r="J3873" i="1"/>
  <c r="A3874" i="1"/>
  <c r="G3874" i="1"/>
  <c r="H3874" i="1"/>
  <c r="I3874" i="1"/>
  <c r="J3874" i="1"/>
  <c r="K3874" i="1"/>
  <c r="M3874" i="1"/>
  <c r="A1498" i="1"/>
  <c r="G1498" i="1"/>
  <c r="H1498" i="1"/>
  <c r="I1498" i="1"/>
  <c r="J1498" i="1"/>
  <c r="K1498" i="1"/>
  <c r="M1498" i="1"/>
  <c r="A3875" i="1"/>
  <c r="G3875" i="1"/>
  <c r="H3875" i="1"/>
  <c r="I3875" i="1"/>
  <c r="J3875" i="1"/>
  <c r="A4276" i="1"/>
  <c r="G4276" i="1"/>
  <c r="H4276" i="1"/>
  <c r="I4276" i="1"/>
  <c r="J4276" i="1"/>
  <c r="A1499" i="1"/>
  <c r="G1499" i="1"/>
  <c r="H1499" i="1"/>
  <c r="I1499" i="1"/>
  <c r="J1499" i="1"/>
  <c r="K1499" i="1"/>
  <c r="M1499" i="1"/>
  <c r="A3876" i="1"/>
  <c r="G3876" i="1"/>
  <c r="H3876" i="1"/>
  <c r="I3876" i="1"/>
  <c r="J3876" i="1"/>
  <c r="K3876" i="1"/>
  <c r="M3876" i="1"/>
  <c r="A2517" i="1"/>
  <c r="G2517" i="1"/>
  <c r="H2517" i="1"/>
  <c r="I2517" i="1"/>
  <c r="J2517" i="1"/>
  <c r="K2517" i="1"/>
  <c r="M2517" i="1"/>
  <c r="A3877" i="1"/>
  <c r="G3877" i="1"/>
  <c r="H3877" i="1"/>
  <c r="I3877" i="1"/>
  <c r="J3877" i="1"/>
  <c r="A4554" i="1"/>
  <c r="G4554" i="1"/>
  <c r="H4554" i="1"/>
  <c r="I4554" i="1"/>
  <c r="J4554" i="1"/>
  <c r="K4554" i="1"/>
  <c r="M4554" i="1"/>
  <c r="A3878" i="1"/>
  <c r="G3878" i="1"/>
  <c r="H3878" i="1"/>
  <c r="I3878" i="1"/>
  <c r="J3878" i="1"/>
  <c r="K3878" i="1"/>
  <c r="M3878" i="1"/>
  <c r="A2518" i="1"/>
  <c r="G2518" i="1"/>
  <c r="H2518" i="1"/>
  <c r="I2518" i="1"/>
  <c r="J2518" i="1"/>
  <c r="A3879" i="1"/>
  <c r="G3879" i="1"/>
  <c r="H3879" i="1"/>
  <c r="I3879" i="1"/>
  <c r="J3879" i="1"/>
  <c r="A1500" i="1"/>
  <c r="G1500" i="1"/>
  <c r="H1500" i="1"/>
  <c r="I1500" i="1"/>
  <c r="J1500" i="1"/>
  <c r="K1500" i="1"/>
  <c r="M1500" i="1"/>
  <c r="A1501" i="1"/>
  <c r="G1501" i="1"/>
  <c r="H1501" i="1"/>
  <c r="I1501" i="1"/>
  <c r="J1501" i="1"/>
  <c r="K1501" i="1"/>
  <c r="M1501" i="1"/>
  <c r="A3880" i="1"/>
  <c r="G3880" i="1"/>
  <c r="H3880" i="1"/>
  <c r="I3880" i="1"/>
  <c r="J3880" i="1"/>
  <c r="A2519" i="1"/>
  <c r="G2519" i="1"/>
  <c r="H2519" i="1"/>
  <c r="I2519" i="1"/>
  <c r="J2519" i="1"/>
  <c r="A1502" i="1"/>
  <c r="G1502" i="1"/>
  <c r="H1502" i="1"/>
  <c r="I1502" i="1"/>
  <c r="J1502" i="1"/>
  <c r="K1502" i="1"/>
  <c r="M1502" i="1"/>
  <c r="A1503" i="1"/>
  <c r="G1503" i="1"/>
  <c r="H1503" i="1"/>
  <c r="I1503" i="1"/>
  <c r="J1503" i="1"/>
  <c r="M1503" i="1"/>
  <c r="A2813" i="1"/>
  <c r="G2813" i="1"/>
  <c r="H2813" i="1"/>
  <c r="I2813" i="1"/>
  <c r="J2813" i="1"/>
  <c r="K2813" i="1"/>
  <c r="M2813" i="1"/>
  <c r="A2520" i="1"/>
  <c r="G2520" i="1"/>
  <c r="H2520" i="1"/>
  <c r="I2520" i="1"/>
  <c r="J2520" i="1"/>
  <c r="K2520" i="1"/>
  <c r="M2520" i="1"/>
  <c r="A2521" i="1"/>
  <c r="G2521" i="1"/>
  <c r="H2521" i="1"/>
  <c r="I2521" i="1"/>
  <c r="J2521" i="1"/>
  <c r="K2521" i="1"/>
  <c r="M2521" i="1"/>
  <c r="A2522" i="1"/>
  <c r="G2522" i="1"/>
  <c r="H2522" i="1"/>
  <c r="I2522" i="1"/>
  <c r="J2522" i="1"/>
  <c r="K2522" i="1"/>
  <c r="M2522" i="1"/>
  <c r="A1504" i="1"/>
  <c r="G1504" i="1"/>
  <c r="H1504" i="1"/>
  <c r="I1504" i="1"/>
  <c r="J1504" i="1"/>
  <c r="K1504" i="1"/>
  <c r="M1504" i="1"/>
  <c r="A3881" i="1"/>
  <c r="G3881" i="1"/>
  <c r="H3881" i="1"/>
  <c r="I3881" i="1"/>
  <c r="J3881" i="1"/>
  <c r="K3881" i="1"/>
  <c r="M3881" i="1"/>
  <c r="A3882" i="1"/>
  <c r="G3882" i="1"/>
  <c r="H3882" i="1"/>
  <c r="I3882" i="1"/>
  <c r="J3882" i="1"/>
  <c r="K3882" i="1"/>
  <c r="M3882" i="1"/>
  <c r="A3883" i="1"/>
  <c r="G3883" i="1"/>
  <c r="H3883" i="1"/>
  <c r="I3883" i="1"/>
  <c r="J3883" i="1"/>
  <c r="K3883" i="1"/>
  <c r="M3883" i="1"/>
  <c r="A1505" i="1"/>
  <c r="G1505" i="1"/>
  <c r="H1505" i="1"/>
  <c r="I1505" i="1"/>
  <c r="J1505" i="1"/>
  <c r="K1505" i="1"/>
  <c r="M1505" i="1"/>
  <c r="A3884" i="1"/>
  <c r="G3884" i="1"/>
  <c r="H3884" i="1"/>
  <c r="I3884" i="1"/>
  <c r="J3884" i="1"/>
  <c r="K3884" i="1"/>
  <c r="M3884" i="1"/>
  <c r="A3885" i="1"/>
  <c r="G3885" i="1"/>
  <c r="H3885" i="1"/>
  <c r="I3885" i="1"/>
  <c r="J3885" i="1"/>
  <c r="A3886" i="1"/>
  <c r="G3886" i="1"/>
  <c r="H3886" i="1"/>
  <c r="I3886" i="1"/>
  <c r="J3886" i="1"/>
  <c r="K3886" i="1"/>
  <c r="M3886" i="1"/>
  <c r="A2523" i="1"/>
  <c r="G2523" i="1"/>
  <c r="H2523" i="1"/>
  <c r="I2523" i="1"/>
  <c r="J2523" i="1"/>
  <c r="A3887" i="1"/>
  <c r="G3887" i="1"/>
  <c r="H3887" i="1"/>
  <c r="I3887" i="1"/>
  <c r="J3887" i="1"/>
  <c r="K3887" i="1"/>
  <c r="M3887" i="1"/>
  <c r="A1506" i="1"/>
  <c r="G1506" i="1"/>
  <c r="H1506" i="1"/>
  <c r="I1506" i="1"/>
  <c r="J1506" i="1"/>
  <c r="K1506" i="1"/>
  <c r="M1506" i="1"/>
  <c r="A2524" i="1"/>
  <c r="G2524" i="1"/>
  <c r="H2524" i="1"/>
  <c r="I2524" i="1"/>
  <c r="J2524" i="1"/>
  <c r="M2524" i="1"/>
  <c r="A1507" i="1"/>
  <c r="G1507" i="1"/>
  <c r="H1507" i="1"/>
  <c r="I1507" i="1"/>
  <c r="J1507" i="1"/>
  <c r="K1507" i="1"/>
  <c r="M1507" i="1"/>
  <c r="A3888" i="1"/>
  <c r="G3888" i="1"/>
  <c r="H3888" i="1"/>
  <c r="I3888" i="1"/>
  <c r="J3888" i="1"/>
  <c r="K3888" i="1"/>
  <c r="M3888" i="1"/>
  <c r="A3889" i="1"/>
  <c r="G3889" i="1"/>
  <c r="H3889" i="1"/>
  <c r="I3889" i="1"/>
  <c r="J3889" i="1"/>
  <c r="A1508" i="1"/>
  <c r="G1508" i="1"/>
  <c r="H1508" i="1"/>
  <c r="I1508" i="1"/>
  <c r="J1508" i="1"/>
  <c r="K1508" i="1"/>
  <c r="M1508" i="1"/>
  <c r="A4555" i="1"/>
  <c r="G4555" i="1"/>
  <c r="H4555" i="1"/>
  <c r="I4555" i="1"/>
  <c r="J4555" i="1"/>
  <c r="K4555" i="1"/>
  <c r="M4555" i="1"/>
  <c r="A1509" i="1"/>
  <c r="G1509" i="1"/>
  <c r="H1509" i="1"/>
  <c r="I1509" i="1"/>
  <c r="J1509" i="1"/>
  <c r="K1509" i="1"/>
  <c r="M1509" i="1"/>
  <c r="A2525" i="1"/>
  <c r="G2525" i="1"/>
  <c r="H2525" i="1"/>
  <c r="I2525" i="1"/>
  <c r="J2525" i="1"/>
  <c r="A1510" i="1"/>
  <c r="G1510" i="1"/>
  <c r="H1510" i="1"/>
  <c r="I1510" i="1"/>
  <c r="J1510" i="1"/>
  <c r="K1510" i="1"/>
  <c r="M1510" i="1"/>
  <c r="A4804" i="1"/>
  <c r="G4804" i="1"/>
  <c r="H4804" i="1"/>
  <c r="I4804" i="1"/>
  <c r="J4804" i="1"/>
  <c r="K4804" i="1"/>
  <c r="M4804" i="1"/>
  <c r="A2526" i="1"/>
  <c r="G2526" i="1"/>
  <c r="H2526" i="1"/>
  <c r="I2526" i="1"/>
  <c r="J2526" i="1"/>
  <c r="K2526" i="1"/>
  <c r="M2526" i="1"/>
  <c r="A1511" i="1"/>
  <c r="G1511" i="1"/>
  <c r="H1511" i="1"/>
  <c r="I1511" i="1"/>
  <c r="J1511" i="1"/>
  <c r="A3890" i="1"/>
  <c r="G3890" i="1"/>
  <c r="H3890" i="1"/>
  <c r="I3890" i="1"/>
  <c r="J3890" i="1"/>
  <c r="K3890" i="1"/>
  <c r="M3890" i="1"/>
  <c r="A3891" i="1"/>
  <c r="G3891" i="1"/>
  <c r="H3891" i="1"/>
  <c r="I3891" i="1"/>
  <c r="J3891" i="1"/>
  <c r="K3891" i="1"/>
  <c r="M3891" i="1"/>
  <c r="A1512" i="1"/>
  <c r="G1512" i="1"/>
  <c r="H1512" i="1"/>
  <c r="I1512" i="1"/>
  <c r="J1512" i="1"/>
  <c r="K1512" i="1"/>
  <c r="M1512" i="1"/>
  <c r="A2527" i="1"/>
  <c r="G2527" i="1"/>
  <c r="H2527" i="1"/>
  <c r="I2527" i="1"/>
  <c r="J2527" i="1"/>
  <c r="K2527" i="1"/>
  <c r="M2527" i="1"/>
  <c r="A1513" i="1"/>
  <c r="G1513" i="1"/>
  <c r="H1513" i="1"/>
  <c r="I1513" i="1"/>
  <c r="J1513" i="1"/>
  <c r="K1513" i="1"/>
  <c r="M1513" i="1"/>
  <c r="A3892" i="1"/>
  <c r="G3892" i="1"/>
  <c r="H3892" i="1"/>
  <c r="I3892" i="1"/>
  <c r="J3892" i="1"/>
  <c r="K3892" i="1"/>
  <c r="M3892" i="1"/>
  <c r="A3893" i="1"/>
  <c r="G3893" i="1"/>
  <c r="H3893" i="1"/>
  <c r="I3893" i="1"/>
  <c r="J3893" i="1"/>
  <c r="K3893" i="1"/>
  <c r="M3893" i="1"/>
  <c r="A3894" i="1"/>
  <c r="G3894" i="1"/>
  <c r="H3894" i="1"/>
  <c r="I3894" i="1"/>
  <c r="J3894" i="1"/>
  <c r="A2528" i="1"/>
  <c r="G2528" i="1"/>
  <c r="H2528" i="1"/>
  <c r="I2528" i="1"/>
  <c r="J2528" i="1"/>
  <c r="K2528" i="1"/>
  <c r="M2528" i="1"/>
  <c r="A4556" i="1"/>
  <c r="G4556" i="1"/>
  <c r="H4556" i="1"/>
  <c r="I4556" i="1"/>
  <c r="J4556" i="1"/>
  <c r="K4556" i="1"/>
  <c r="M4556" i="1"/>
  <c r="A2529" i="1"/>
  <c r="G2529" i="1"/>
  <c r="H2529" i="1"/>
  <c r="I2529" i="1"/>
  <c r="J2529" i="1"/>
  <c r="A3895" i="1"/>
  <c r="G3895" i="1"/>
  <c r="H3895" i="1"/>
  <c r="I3895" i="1"/>
  <c r="J3895" i="1"/>
  <c r="K3895" i="1"/>
  <c r="M3895" i="1"/>
  <c r="A3896" i="1"/>
  <c r="G3896" i="1"/>
  <c r="H3896" i="1"/>
  <c r="I3896" i="1"/>
  <c r="J3896" i="1"/>
  <c r="A2530" i="1"/>
  <c r="G2530" i="1"/>
  <c r="H2530" i="1"/>
  <c r="I2530" i="1"/>
  <c r="J2530" i="1"/>
  <c r="K2530" i="1"/>
  <c r="M2530" i="1"/>
  <c r="A2531" i="1"/>
  <c r="G2531" i="1"/>
  <c r="H2531" i="1"/>
  <c r="I2531" i="1"/>
  <c r="J2531" i="1"/>
  <c r="K2531" i="1"/>
  <c r="M2531" i="1"/>
  <c r="A4557" i="1"/>
  <c r="G4557" i="1"/>
  <c r="H4557" i="1"/>
  <c r="I4557" i="1"/>
  <c r="J4557" i="1"/>
  <c r="K4557" i="1"/>
  <c r="M4557" i="1"/>
  <c r="A3897" i="1"/>
  <c r="G3897" i="1"/>
  <c r="H3897" i="1"/>
  <c r="I3897" i="1"/>
  <c r="J3897" i="1"/>
  <c r="K3897" i="1"/>
  <c r="M3897" i="1"/>
  <c r="A1514" i="1"/>
  <c r="G1514" i="1"/>
  <c r="H1514" i="1"/>
  <c r="I1514" i="1"/>
  <c r="J1514" i="1"/>
  <c r="K1514" i="1"/>
  <c r="M1514" i="1"/>
  <c r="A2532" i="1"/>
  <c r="G2532" i="1"/>
  <c r="H2532" i="1"/>
  <c r="I2532" i="1"/>
  <c r="J2532" i="1"/>
  <c r="A1515" i="1"/>
  <c r="G1515" i="1"/>
  <c r="H1515" i="1"/>
  <c r="I1515" i="1"/>
  <c r="J1515" i="1"/>
  <c r="K1515" i="1"/>
  <c r="M1515" i="1"/>
  <c r="A1516" i="1"/>
  <c r="G1516" i="1"/>
  <c r="H1516" i="1"/>
  <c r="I1516" i="1"/>
  <c r="J1516" i="1"/>
  <c r="K1516" i="1"/>
  <c r="M1516" i="1"/>
  <c r="A2533" i="1"/>
  <c r="G2533" i="1"/>
  <c r="H2533" i="1"/>
  <c r="I2533" i="1"/>
  <c r="J2533" i="1"/>
  <c r="K2533" i="1"/>
  <c r="M2533" i="1"/>
  <c r="A2534" i="1"/>
  <c r="G2534" i="1"/>
  <c r="H2534" i="1"/>
  <c r="I2534" i="1"/>
  <c r="J2534" i="1"/>
  <c r="K2534" i="1"/>
  <c r="M2534" i="1"/>
  <c r="A2535" i="1"/>
  <c r="G2535" i="1"/>
  <c r="H2535" i="1"/>
  <c r="I2535" i="1"/>
  <c r="J2535" i="1"/>
  <c r="M2535" i="1"/>
  <c r="A4558" i="1"/>
  <c r="G4558" i="1"/>
  <c r="H4558" i="1"/>
  <c r="I4558" i="1"/>
  <c r="J4558" i="1"/>
  <c r="K4558" i="1"/>
  <c r="M4558" i="1"/>
  <c r="A3898" i="1"/>
  <c r="G3898" i="1"/>
  <c r="H3898" i="1"/>
  <c r="I3898" i="1"/>
  <c r="J3898" i="1"/>
  <c r="A1517" i="1"/>
  <c r="G1517" i="1"/>
  <c r="H1517" i="1"/>
  <c r="I1517" i="1"/>
  <c r="J1517" i="1"/>
  <c r="M1517" i="1"/>
  <c r="A4758" i="1"/>
  <c r="G4758" i="1"/>
  <c r="H4758" i="1"/>
  <c r="I4758" i="1"/>
  <c r="J4758" i="1"/>
  <c r="M4758" i="1"/>
  <c r="A2814" i="1"/>
  <c r="G2814" i="1"/>
  <c r="H2814" i="1"/>
  <c r="I2814" i="1"/>
  <c r="J2814" i="1"/>
  <c r="K2814" i="1"/>
  <c r="M2814" i="1"/>
  <c r="A2536" i="1"/>
  <c r="G2536" i="1"/>
  <c r="H2536" i="1"/>
  <c r="I2536" i="1"/>
  <c r="J2536" i="1"/>
  <c r="A2537" i="1"/>
  <c r="G2537" i="1"/>
  <c r="H2537" i="1"/>
  <c r="I2537" i="1"/>
  <c r="J2537" i="1"/>
  <c r="K2537" i="1"/>
  <c r="M2537" i="1"/>
  <c r="A4759" i="1"/>
  <c r="G4759" i="1"/>
  <c r="H4759" i="1"/>
  <c r="I4759" i="1"/>
  <c r="J4759" i="1"/>
  <c r="M4759" i="1"/>
  <c r="A3899" i="1"/>
  <c r="G3899" i="1"/>
  <c r="H3899" i="1"/>
  <c r="I3899" i="1"/>
  <c r="J3899" i="1"/>
  <c r="K3899" i="1"/>
  <c r="M3899" i="1"/>
  <c r="A2538" i="1"/>
  <c r="G2538" i="1"/>
  <c r="H2538" i="1"/>
  <c r="I2538" i="1"/>
  <c r="J2538" i="1"/>
  <c r="K2538" i="1"/>
  <c r="M2538" i="1"/>
  <c r="A1518" i="1"/>
  <c r="G1518" i="1"/>
  <c r="H1518" i="1"/>
  <c r="I1518" i="1"/>
  <c r="J1518" i="1"/>
  <c r="K1518" i="1"/>
  <c r="M1518" i="1"/>
  <c r="A3900" i="1"/>
  <c r="G3900" i="1"/>
  <c r="H3900" i="1"/>
  <c r="I3900" i="1"/>
  <c r="J3900" i="1"/>
  <c r="A4760" i="1"/>
  <c r="G4760" i="1"/>
  <c r="H4760" i="1"/>
  <c r="I4760" i="1"/>
  <c r="J4760" i="1"/>
  <c r="M4760" i="1"/>
  <c r="A2889" i="1"/>
  <c r="G2889" i="1"/>
  <c r="H2889" i="1"/>
  <c r="I2889" i="1"/>
  <c r="J2889" i="1"/>
  <c r="K2889" i="1"/>
  <c r="M2889" i="1"/>
  <c r="A136" i="1"/>
  <c r="G136" i="1"/>
  <c r="H136" i="1"/>
  <c r="I136" i="1"/>
  <c r="J136" i="1"/>
  <c r="K136" i="1"/>
  <c r="M136" i="1"/>
  <c r="A3901" i="1"/>
  <c r="G3901" i="1"/>
  <c r="H3901" i="1"/>
  <c r="I3901" i="1"/>
  <c r="J3901" i="1"/>
  <c r="A1519" i="1"/>
  <c r="G1519" i="1"/>
  <c r="H1519" i="1"/>
  <c r="I1519" i="1"/>
  <c r="J1519" i="1"/>
  <c r="K1519" i="1"/>
  <c r="M1519" i="1"/>
  <c r="A3902" i="1"/>
  <c r="G3902" i="1"/>
  <c r="H3902" i="1"/>
  <c r="I3902" i="1"/>
  <c r="J3902" i="1"/>
  <c r="K3902" i="1"/>
  <c r="M3902" i="1"/>
  <c r="A3903" i="1"/>
  <c r="G3903" i="1"/>
  <c r="H3903" i="1"/>
  <c r="I3903" i="1"/>
  <c r="J3903" i="1"/>
  <c r="K3903" i="1"/>
  <c r="M3903" i="1"/>
  <c r="A2539" i="1"/>
  <c r="G2539" i="1"/>
  <c r="H2539" i="1"/>
  <c r="I2539" i="1"/>
  <c r="J2539" i="1"/>
  <c r="A4277" i="1"/>
  <c r="G4277" i="1"/>
  <c r="H4277" i="1"/>
  <c r="I4277" i="1"/>
  <c r="J4277" i="1"/>
  <c r="A137" i="1"/>
  <c r="G137" i="1"/>
  <c r="H137" i="1"/>
  <c r="I137" i="1"/>
  <c r="J137" i="1"/>
  <c r="A2815" i="1"/>
  <c r="G2815" i="1"/>
  <c r="H2815" i="1"/>
  <c r="I2815" i="1"/>
  <c r="J2815" i="1"/>
  <c r="K2815" i="1"/>
  <c r="M2815" i="1"/>
  <c r="A4336" i="1"/>
  <c r="G4336" i="1"/>
  <c r="H4336" i="1"/>
  <c r="I4336" i="1"/>
  <c r="J4336" i="1"/>
  <c r="M4336" i="1"/>
  <c r="A3904" i="1"/>
  <c r="G3904" i="1"/>
  <c r="H3904" i="1"/>
  <c r="I3904" i="1"/>
  <c r="J3904" i="1"/>
  <c r="A3905" i="1"/>
  <c r="G3905" i="1"/>
  <c r="H3905" i="1"/>
  <c r="I3905" i="1"/>
  <c r="J3905" i="1"/>
  <c r="K3905" i="1"/>
  <c r="M3905" i="1"/>
  <c r="A3906" i="1"/>
  <c r="G3906" i="1"/>
  <c r="H3906" i="1"/>
  <c r="I3906" i="1"/>
  <c r="J3906" i="1"/>
  <c r="K3906" i="1"/>
  <c r="M3906" i="1"/>
  <c r="A1520" i="1"/>
  <c r="G1520" i="1"/>
  <c r="H1520" i="1"/>
  <c r="I1520" i="1"/>
  <c r="J1520" i="1"/>
  <c r="K1520" i="1"/>
  <c r="M1520" i="1"/>
  <c r="A2540" i="1"/>
  <c r="G2540" i="1"/>
  <c r="H2540" i="1"/>
  <c r="I2540" i="1"/>
  <c r="J2540" i="1"/>
  <c r="M2540" i="1"/>
  <c r="A1521" i="1"/>
  <c r="G1521" i="1"/>
  <c r="H1521" i="1"/>
  <c r="I1521" i="1"/>
  <c r="J1521" i="1"/>
  <c r="K1521" i="1"/>
  <c r="M1521" i="1"/>
  <c r="A2541" i="1"/>
  <c r="G2541" i="1"/>
  <c r="H2541" i="1"/>
  <c r="I2541" i="1"/>
  <c r="J2541" i="1"/>
  <c r="A3907" i="1"/>
  <c r="G3907" i="1"/>
  <c r="H3907" i="1"/>
  <c r="I3907" i="1"/>
  <c r="J3907" i="1"/>
  <c r="A1522" i="1"/>
  <c r="G1522" i="1"/>
  <c r="H1522" i="1"/>
  <c r="I1522" i="1"/>
  <c r="J1522" i="1"/>
  <c r="M1522" i="1"/>
  <c r="A2542" i="1"/>
  <c r="G2542" i="1"/>
  <c r="H2542" i="1"/>
  <c r="I2542" i="1"/>
  <c r="J2542" i="1"/>
  <c r="K2542" i="1"/>
  <c r="M2542" i="1"/>
  <c r="A3908" i="1"/>
  <c r="G3908" i="1"/>
  <c r="H3908" i="1"/>
  <c r="I3908" i="1"/>
  <c r="J3908" i="1"/>
  <c r="K3908" i="1"/>
  <c r="M3908" i="1"/>
  <c r="A4278" i="1"/>
  <c r="G4278" i="1"/>
  <c r="H4278" i="1"/>
  <c r="I4278" i="1"/>
  <c r="J4278" i="1"/>
  <c r="K4278" i="1"/>
  <c r="M4278" i="1"/>
  <c r="A4805" i="1"/>
  <c r="G4805" i="1"/>
  <c r="H4805" i="1"/>
  <c r="I4805" i="1"/>
  <c r="J4805" i="1"/>
  <c r="K4805" i="1"/>
  <c r="M4805" i="1"/>
  <c r="A1523" i="1"/>
  <c r="G1523" i="1"/>
  <c r="H1523" i="1"/>
  <c r="I1523" i="1"/>
  <c r="J1523" i="1"/>
  <c r="M1523" i="1"/>
  <c r="A3909" i="1"/>
  <c r="G3909" i="1"/>
  <c r="H3909" i="1"/>
  <c r="I3909" i="1"/>
  <c r="J3909" i="1"/>
  <c r="K3909" i="1"/>
  <c r="M3909" i="1"/>
  <c r="A2543" i="1"/>
  <c r="G2543" i="1"/>
  <c r="H2543" i="1"/>
  <c r="I2543" i="1"/>
  <c r="J2543" i="1"/>
  <c r="K2543" i="1"/>
  <c r="M2543" i="1"/>
  <c r="A3910" i="1"/>
  <c r="G3910" i="1"/>
  <c r="H3910" i="1"/>
  <c r="I3910" i="1"/>
  <c r="J3910" i="1"/>
  <c r="A3911" i="1"/>
  <c r="G3911" i="1"/>
  <c r="H3911" i="1"/>
  <c r="I3911" i="1"/>
  <c r="J3911" i="1"/>
  <c r="A3912" i="1"/>
  <c r="G3912" i="1"/>
  <c r="H3912" i="1"/>
  <c r="I3912" i="1"/>
  <c r="J3912" i="1"/>
  <c r="K3912" i="1"/>
  <c r="M3912" i="1"/>
  <c r="A1524" i="1"/>
  <c r="G1524" i="1"/>
  <c r="H1524" i="1"/>
  <c r="I1524" i="1"/>
  <c r="J1524" i="1"/>
  <c r="M1524" i="1"/>
  <c r="A3913" i="1"/>
  <c r="G3913" i="1"/>
  <c r="H3913" i="1"/>
  <c r="I3913" i="1"/>
  <c r="J3913" i="1"/>
  <c r="K3913" i="1"/>
  <c r="M3913" i="1"/>
  <c r="A3914" i="1"/>
  <c r="G3914" i="1"/>
  <c r="H3914" i="1"/>
  <c r="I3914" i="1"/>
  <c r="J3914" i="1"/>
  <c r="K3914" i="1"/>
  <c r="M3914" i="1"/>
  <c r="A3915" i="1"/>
  <c r="G3915" i="1"/>
  <c r="H3915" i="1"/>
  <c r="I3915" i="1"/>
  <c r="J3915" i="1"/>
  <c r="K3915" i="1"/>
  <c r="M3915" i="1"/>
  <c r="A1525" i="1"/>
  <c r="G1525" i="1"/>
  <c r="H1525" i="1"/>
  <c r="I1525" i="1"/>
  <c r="J1525" i="1"/>
  <c r="K1525" i="1"/>
  <c r="M1525" i="1"/>
  <c r="A1526" i="1"/>
  <c r="G1526" i="1"/>
  <c r="H1526" i="1"/>
  <c r="I1526" i="1"/>
  <c r="J1526" i="1"/>
  <c r="K1526" i="1"/>
  <c r="M1526" i="1"/>
  <c r="A2544" i="1"/>
  <c r="G2544" i="1"/>
  <c r="H2544" i="1"/>
  <c r="I2544" i="1"/>
  <c r="J2544" i="1"/>
  <c r="A1527" i="1"/>
  <c r="G1527" i="1"/>
  <c r="H1527" i="1"/>
  <c r="I1527" i="1"/>
  <c r="J1527" i="1"/>
  <c r="L1527" i="1"/>
  <c r="M1527" i="1"/>
  <c r="A1528" i="1"/>
  <c r="G1528" i="1"/>
  <c r="H1528" i="1"/>
  <c r="I1528" i="1"/>
  <c r="J1528" i="1"/>
  <c r="K1528" i="1"/>
  <c r="M1528" i="1"/>
  <c r="A4559" i="1"/>
  <c r="G4559" i="1"/>
  <c r="H4559" i="1"/>
  <c r="I4559" i="1"/>
  <c r="J4559" i="1"/>
  <c r="K4559" i="1"/>
  <c r="M4559" i="1"/>
  <c r="A3916" i="1"/>
  <c r="G3916" i="1"/>
  <c r="H3916" i="1"/>
  <c r="I3916" i="1"/>
  <c r="J3916" i="1"/>
  <c r="K3916" i="1"/>
  <c r="M3916" i="1"/>
  <c r="A3917" i="1"/>
  <c r="G3917" i="1"/>
  <c r="H3917" i="1"/>
  <c r="I3917" i="1"/>
  <c r="J3917" i="1"/>
  <c r="K3917" i="1"/>
  <c r="M3917" i="1"/>
  <c r="A1529" i="1"/>
  <c r="G1529" i="1"/>
  <c r="H1529" i="1"/>
  <c r="I1529" i="1"/>
  <c r="J1529" i="1"/>
  <c r="K1529" i="1"/>
  <c r="M1529" i="1"/>
  <c r="A1530" i="1"/>
  <c r="G1530" i="1"/>
  <c r="H1530" i="1"/>
  <c r="I1530" i="1"/>
  <c r="J1530" i="1"/>
  <c r="K1530" i="1"/>
  <c r="M1530" i="1"/>
  <c r="A138" i="1"/>
  <c r="G138" i="1"/>
  <c r="H138" i="1"/>
  <c r="I138" i="1"/>
  <c r="J138" i="1"/>
  <c r="K138" i="1"/>
  <c r="M138" i="1"/>
  <c r="A1531" i="1"/>
  <c r="G1531" i="1"/>
  <c r="H1531" i="1"/>
  <c r="I1531" i="1"/>
  <c r="J1531" i="1"/>
  <c r="K1531" i="1"/>
  <c r="M1531" i="1"/>
  <c r="A3918" i="1"/>
  <c r="G3918" i="1"/>
  <c r="H3918" i="1"/>
  <c r="I3918" i="1"/>
  <c r="J3918" i="1"/>
  <c r="K3918" i="1"/>
  <c r="M3918" i="1"/>
  <c r="A3919" i="1"/>
  <c r="G3919" i="1"/>
  <c r="H3919" i="1"/>
  <c r="I3919" i="1"/>
  <c r="J3919" i="1"/>
  <c r="K3919" i="1"/>
  <c r="M3919" i="1"/>
  <c r="A3920" i="1"/>
  <c r="G3920" i="1"/>
  <c r="H3920" i="1"/>
  <c r="I3920" i="1"/>
  <c r="J3920" i="1"/>
  <c r="A3921" i="1"/>
  <c r="G3921" i="1"/>
  <c r="H3921" i="1"/>
  <c r="I3921" i="1"/>
  <c r="J3921" i="1"/>
  <c r="K3921" i="1"/>
  <c r="M3921" i="1"/>
  <c r="A4279" i="1"/>
  <c r="G4279" i="1"/>
  <c r="H4279" i="1"/>
  <c r="I4279" i="1"/>
  <c r="J4279" i="1"/>
  <c r="K4279" i="1"/>
  <c r="M4279" i="1"/>
  <c r="A1532" i="1"/>
  <c r="G1532" i="1"/>
  <c r="H1532" i="1"/>
  <c r="I1532" i="1"/>
  <c r="J1532" i="1"/>
  <c r="K1532" i="1"/>
  <c r="M1532" i="1"/>
  <c r="A1533" i="1"/>
  <c r="G1533" i="1"/>
  <c r="H1533" i="1"/>
  <c r="I1533" i="1"/>
  <c r="J1533" i="1"/>
  <c r="K1533" i="1"/>
  <c r="M1533" i="1"/>
  <c r="A3922" i="1"/>
  <c r="G3922" i="1"/>
  <c r="H3922" i="1"/>
  <c r="I3922" i="1"/>
  <c r="J3922" i="1"/>
  <c r="A1534" i="1"/>
  <c r="G1534" i="1"/>
  <c r="H1534" i="1"/>
  <c r="I1534" i="1"/>
  <c r="J1534" i="1"/>
  <c r="K1534" i="1"/>
  <c r="M1534" i="1"/>
  <c r="A1535" i="1"/>
  <c r="G1535" i="1"/>
  <c r="H1535" i="1"/>
  <c r="I1535" i="1"/>
  <c r="J1535" i="1"/>
  <c r="K1535" i="1"/>
  <c r="M1535" i="1"/>
  <c r="A1536" i="1"/>
  <c r="G1536" i="1"/>
  <c r="H1536" i="1"/>
  <c r="I1536" i="1"/>
  <c r="J1536" i="1"/>
  <c r="K1536" i="1"/>
  <c r="M1536" i="1"/>
  <c r="A2545" i="1"/>
  <c r="G2545" i="1"/>
  <c r="H2545" i="1"/>
  <c r="I2545" i="1"/>
  <c r="J2545" i="1"/>
  <c r="K2545" i="1"/>
  <c r="M2545" i="1"/>
  <c r="A3923" i="1"/>
  <c r="G3923" i="1"/>
  <c r="H3923" i="1"/>
  <c r="I3923" i="1"/>
  <c r="J3923" i="1"/>
  <c r="K3923" i="1"/>
  <c r="M3923" i="1"/>
  <c r="A1537" i="1"/>
  <c r="G1537" i="1"/>
  <c r="H1537" i="1"/>
  <c r="I1537" i="1"/>
  <c r="J1537" i="1"/>
  <c r="K1537" i="1"/>
  <c r="M1537" i="1"/>
  <c r="A1538" i="1"/>
  <c r="G1538" i="1"/>
  <c r="H1538" i="1"/>
  <c r="I1538" i="1"/>
  <c r="J1538" i="1"/>
  <c r="K1538" i="1"/>
  <c r="M1538" i="1"/>
  <c r="A4560" i="1"/>
  <c r="G4560" i="1"/>
  <c r="H4560" i="1"/>
  <c r="I4560" i="1"/>
  <c r="J4560" i="1"/>
  <c r="M4560" i="1"/>
  <c r="A1539" i="1"/>
  <c r="G1539" i="1"/>
  <c r="H1539" i="1"/>
  <c r="I1539" i="1"/>
  <c r="J1539" i="1"/>
  <c r="M1539" i="1"/>
  <c r="A3924" i="1"/>
  <c r="G3924" i="1"/>
  <c r="H3924" i="1"/>
  <c r="I3924" i="1"/>
  <c r="J3924" i="1"/>
  <c r="A1540" i="1"/>
  <c r="G1540" i="1"/>
  <c r="H1540" i="1"/>
  <c r="I1540" i="1"/>
  <c r="J1540" i="1"/>
  <c r="M1540" i="1"/>
  <c r="A3925" i="1"/>
  <c r="G3925" i="1"/>
  <c r="H3925" i="1"/>
  <c r="I3925" i="1"/>
  <c r="J3925" i="1"/>
  <c r="K3925" i="1"/>
  <c r="M3925" i="1"/>
  <c r="A1541" i="1"/>
  <c r="G1541" i="1"/>
  <c r="H1541" i="1"/>
  <c r="I1541" i="1"/>
  <c r="J1541" i="1"/>
  <c r="K1541" i="1"/>
  <c r="M1541" i="1"/>
  <c r="A2546" i="1"/>
  <c r="G2546" i="1"/>
  <c r="H2546" i="1"/>
  <c r="I2546" i="1"/>
  <c r="J2546" i="1"/>
  <c r="A3926" i="1"/>
  <c r="G3926" i="1"/>
  <c r="H3926" i="1"/>
  <c r="I3926" i="1"/>
  <c r="J3926" i="1"/>
  <c r="K3926" i="1"/>
  <c r="M3926" i="1"/>
  <c r="A1542" i="1"/>
  <c r="G1542" i="1"/>
  <c r="H1542" i="1"/>
  <c r="I1542" i="1"/>
  <c r="J1542" i="1"/>
  <c r="M1542" i="1"/>
  <c r="A3927" i="1"/>
  <c r="G3927" i="1"/>
  <c r="H3927" i="1"/>
  <c r="I3927" i="1"/>
  <c r="J3927" i="1"/>
  <c r="A4561" i="1"/>
  <c r="G4561" i="1"/>
  <c r="H4561" i="1"/>
  <c r="I4561" i="1"/>
  <c r="J4561" i="1"/>
  <c r="K4561" i="1"/>
  <c r="M4561" i="1"/>
  <c r="A2547" i="1"/>
  <c r="G2547" i="1"/>
  <c r="H2547" i="1"/>
  <c r="I2547" i="1"/>
  <c r="J2547" i="1"/>
  <c r="K2547" i="1"/>
  <c r="M2547" i="1"/>
  <c r="A3928" i="1"/>
  <c r="G3928" i="1"/>
  <c r="H3928" i="1"/>
  <c r="I3928" i="1"/>
  <c r="J3928" i="1"/>
  <c r="K3928" i="1"/>
  <c r="M3928" i="1"/>
  <c r="A1543" i="1"/>
  <c r="G1543" i="1"/>
  <c r="H1543" i="1"/>
  <c r="I1543" i="1"/>
  <c r="J1543" i="1"/>
  <c r="K1543" i="1"/>
  <c r="M1543" i="1"/>
  <c r="A3929" i="1"/>
  <c r="G3929" i="1"/>
  <c r="H3929" i="1"/>
  <c r="I3929" i="1"/>
  <c r="J3929" i="1"/>
  <c r="K3929" i="1"/>
  <c r="M3929" i="1"/>
  <c r="A2816" i="1"/>
  <c r="G2816" i="1"/>
  <c r="H2816" i="1"/>
  <c r="I2816" i="1"/>
  <c r="J2816" i="1"/>
  <c r="K2816" i="1"/>
  <c r="M2816" i="1"/>
  <c r="A3930" i="1"/>
  <c r="G3930" i="1"/>
  <c r="H3930" i="1"/>
  <c r="I3930" i="1"/>
  <c r="J3930" i="1"/>
  <c r="K3930" i="1"/>
  <c r="M3930" i="1"/>
  <c r="A4761" i="1"/>
  <c r="G4761" i="1"/>
  <c r="H4761" i="1"/>
  <c r="I4761" i="1"/>
  <c r="J4761" i="1"/>
  <c r="M4761" i="1"/>
  <c r="A139" i="1"/>
  <c r="G139" i="1"/>
  <c r="H139" i="1"/>
  <c r="I139" i="1"/>
  <c r="J139" i="1"/>
  <c r="K139" i="1"/>
  <c r="M139" i="1"/>
  <c r="A2548" i="1"/>
  <c r="G2548" i="1"/>
  <c r="H2548" i="1"/>
  <c r="I2548" i="1"/>
  <c r="J2548" i="1"/>
  <c r="K2548" i="1"/>
  <c r="M2548" i="1"/>
  <c r="A3931" i="1"/>
  <c r="G3931" i="1"/>
  <c r="H3931" i="1"/>
  <c r="I3931" i="1"/>
  <c r="J3931" i="1"/>
  <c r="A3932" i="1"/>
  <c r="G3932" i="1"/>
  <c r="H3932" i="1"/>
  <c r="I3932" i="1"/>
  <c r="J3932" i="1"/>
  <c r="A1544" i="1"/>
  <c r="G1544" i="1"/>
  <c r="H1544" i="1"/>
  <c r="I1544" i="1"/>
  <c r="J1544" i="1"/>
  <c r="L1544" i="1"/>
  <c r="M1544" i="1"/>
  <c r="A1545" i="1"/>
  <c r="G1545" i="1"/>
  <c r="H1545" i="1"/>
  <c r="I1545" i="1"/>
  <c r="J1545" i="1"/>
  <c r="K1545" i="1"/>
  <c r="M1545" i="1"/>
  <c r="A3933" i="1"/>
  <c r="G3933" i="1"/>
  <c r="H3933" i="1"/>
  <c r="I3933" i="1"/>
  <c r="J3933" i="1"/>
  <c r="A2549" i="1"/>
  <c r="G2549" i="1"/>
  <c r="H2549" i="1"/>
  <c r="I2549" i="1"/>
  <c r="J2549" i="1"/>
  <c r="K2549" i="1"/>
  <c r="M2549" i="1"/>
  <c r="A1546" i="1"/>
  <c r="G1546" i="1"/>
  <c r="H1546" i="1"/>
  <c r="I1546" i="1"/>
  <c r="J1546" i="1"/>
  <c r="M1546" i="1"/>
  <c r="A1547" i="1"/>
  <c r="G1547" i="1"/>
  <c r="H1547" i="1"/>
  <c r="I1547" i="1"/>
  <c r="J1547" i="1"/>
  <c r="K1547" i="1"/>
  <c r="M1547" i="1"/>
  <c r="A1548" i="1"/>
  <c r="G1548" i="1"/>
  <c r="H1548" i="1"/>
  <c r="I1548" i="1"/>
  <c r="J1548" i="1"/>
  <c r="K1548" i="1"/>
  <c r="M1548" i="1"/>
  <c r="A1549" i="1"/>
  <c r="G1549" i="1"/>
  <c r="H1549" i="1"/>
  <c r="I1549" i="1"/>
  <c r="J1549" i="1"/>
  <c r="K1549" i="1"/>
  <c r="M1549" i="1"/>
  <c r="A1550" i="1"/>
  <c r="G1550" i="1"/>
  <c r="H1550" i="1"/>
  <c r="I1550" i="1"/>
  <c r="J1550" i="1"/>
  <c r="K1550" i="1"/>
  <c r="M1550" i="1"/>
  <c r="A2550" i="1"/>
  <c r="G2550" i="1"/>
  <c r="H2550" i="1"/>
  <c r="I2550" i="1"/>
  <c r="J2550" i="1"/>
  <c r="K2550" i="1"/>
  <c r="M2550" i="1"/>
  <c r="A4562" i="1"/>
  <c r="G4562" i="1"/>
  <c r="H4562" i="1"/>
  <c r="I4562" i="1"/>
  <c r="J4562" i="1"/>
  <c r="K4562" i="1"/>
  <c r="M4562" i="1"/>
  <c r="A1551" i="1"/>
  <c r="G1551" i="1"/>
  <c r="H1551" i="1"/>
  <c r="I1551" i="1"/>
  <c r="J1551" i="1"/>
  <c r="K1551" i="1"/>
  <c r="M1551" i="1"/>
  <c r="A1552" i="1"/>
  <c r="G1552" i="1"/>
  <c r="H1552" i="1"/>
  <c r="I1552" i="1"/>
  <c r="J1552" i="1"/>
  <c r="K1552" i="1"/>
  <c r="L1552" i="1"/>
  <c r="M1552" i="1"/>
  <c r="A2890" i="1"/>
  <c r="G2890" i="1"/>
  <c r="H2890" i="1"/>
  <c r="I2890" i="1"/>
  <c r="J2890" i="1"/>
  <c r="K2890" i="1"/>
  <c r="M2890" i="1"/>
  <c r="A2551" i="1"/>
  <c r="G2551" i="1"/>
  <c r="H2551" i="1"/>
  <c r="I2551" i="1"/>
  <c r="J2551" i="1"/>
  <c r="A1553" i="1"/>
  <c r="G1553" i="1"/>
  <c r="H1553" i="1"/>
  <c r="I1553" i="1"/>
  <c r="J1553" i="1"/>
  <c r="K1553" i="1"/>
  <c r="M1553" i="1"/>
  <c r="A3934" i="1"/>
  <c r="G3934" i="1"/>
  <c r="H3934" i="1"/>
  <c r="I3934" i="1"/>
  <c r="J3934" i="1"/>
  <c r="K3934" i="1"/>
  <c r="M3934" i="1"/>
  <c r="A3935" i="1"/>
  <c r="G3935" i="1"/>
  <c r="H3935" i="1"/>
  <c r="I3935" i="1"/>
  <c r="J3935" i="1"/>
  <c r="K3935" i="1"/>
  <c r="M3935" i="1"/>
  <c r="A2552" i="1"/>
  <c r="G2552" i="1"/>
  <c r="H2552" i="1"/>
  <c r="I2552" i="1"/>
  <c r="J2552" i="1"/>
  <c r="K2552" i="1"/>
  <c r="M2552" i="1"/>
  <c r="A1554" i="1"/>
  <c r="G1554" i="1"/>
  <c r="H1554" i="1"/>
  <c r="I1554" i="1"/>
  <c r="J1554" i="1"/>
  <c r="M1554" i="1"/>
  <c r="A2817" i="1"/>
  <c r="G2817" i="1"/>
  <c r="H2817" i="1"/>
  <c r="I2817" i="1"/>
  <c r="J2817" i="1"/>
  <c r="K2817" i="1"/>
  <c r="M2817" i="1"/>
  <c r="A2891" i="1"/>
  <c r="G2891" i="1"/>
  <c r="H2891" i="1"/>
  <c r="I2891" i="1"/>
  <c r="J2891" i="1"/>
  <c r="K2891" i="1"/>
  <c r="M2891" i="1"/>
  <c r="A1555" i="1"/>
  <c r="G1555" i="1"/>
  <c r="H1555" i="1"/>
  <c r="I1555" i="1"/>
  <c r="J1555" i="1"/>
  <c r="K1555" i="1"/>
  <c r="M1555" i="1"/>
  <c r="A4563" i="1"/>
  <c r="G4563" i="1"/>
  <c r="H4563" i="1"/>
  <c r="I4563" i="1"/>
  <c r="J4563" i="1"/>
  <c r="K4563" i="1"/>
  <c r="M4563" i="1"/>
  <c r="A4564" i="1"/>
  <c r="G4564" i="1"/>
  <c r="H4564" i="1"/>
  <c r="I4564" i="1"/>
  <c r="J4564" i="1"/>
  <c r="K4564" i="1"/>
  <c r="M4564" i="1"/>
  <c r="A2553" i="1"/>
  <c r="G2553" i="1"/>
  <c r="H2553" i="1"/>
  <c r="I2553" i="1"/>
  <c r="J2553" i="1"/>
  <c r="K2553" i="1"/>
  <c r="M2553" i="1"/>
  <c r="A2554" i="1"/>
  <c r="G2554" i="1"/>
  <c r="H2554" i="1"/>
  <c r="I2554" i="1"/>
  <c r="J2554" i="1"/>
  <c r="K2554" i="1"/>
  <c r="M2554" i="1"/>
  <c r="A1556" i="1"/>
  <c r="G1556" i="1"/>
  <c r="H1556" i="1"/>
  <c r="I1556" i="1"/>
  <c r="J1556" i="1"/>
  <c r="K1556" i="1"/>
  <c r="M1556" i="1"/>
  <c r="A1557" i="1"/>
  <c r="G1557" i="1"/>
  <c r="H1557" i="1"/>
  <c r="I1557" i="1"/>
  <c r="J1557" i="1"/>
  <c r="L1557" i="1"/>
  <c r="M1557" i="1"/>
  <c r="A2555" i="1"/>
  <c r="G2555" i="1"/>
  <c r="H2555" i="1"/>
  <c r="I2555" i="1"/>
  <c r="J2555" i="1"/>
  <c r="K2555" i="1"/>
  <c r="M2555" i="1"/>
  <c r="A2556" i="1"/>
  <c r="G2556" i="1"/>
  <c r="H2556" i="1"/>
  <c r="I2556" i="1"/>
  <c r="J2556" i="1"/>
  <c r="K2556" i="1"/>
  <c r="M2556" i="1"/>
  <c r="A3936" i="1"/>
  <c r="G3936" i="1"/>
  <c r="H3936" i="1"/>
  <c r="I3936" i="1"/>
  <c r="J3936" i="1"/>
  <c r="K3936" i="1"/>
  <c r="M3936" i="1"/>
  <c r="A2557" i="1"/>
  <c r="G2557" i="1"/>
  <c r="H2557" i="1"/>
  <c r="I2557" i="1"/>
  <c r="J2557" i="1"/>
  <c r="K2557" i="1"/>
  <c r="M2557" i="1"/>
  <c r="A3937" i="1"/>
  <c r="G3937" i="1"/>
  <c r="H3937" i="1"/>
  <c r="I3937" i="1"/>
  <c r="J3937" i="1"/>
  <c r="K3937" i="1"/>
  <c r="M3937" i="1"/>
  <c r="A1558" i="1"/>
  <c r="G1558" i="1"/>
  <c r="H1558" i="1"/>
  <c r="I1558" i="1"/>
  <c r="J1558" i="1"/>
  <c r="M1558" i="1"/>
  <c r="A1559" i="1"/>
  <c r="G1559" i="1"/>
  <c r="H1559" i="1"/>
  <c r="I1559" i="1"/>
  <c r="J1559" i="1"/>
  <c r="K1559" i="1"/>
  <c r="M1559" i="1"/>
  <c r="A2892" i="1"/>
  <c r="G2892" i="1"/>
  <c r="H2892" i="1"/>
  <c r="I2892" i="1"/>
  <c r="J2892" i="1"/>
  <c r="K2892" i="1"/>
  <c r="M2892" i="1"/>
  <c r="A140" i="1"/>
  <c r="G140" i="1"/>
  <c r="H140" i="1"/>
  <c r="I140" i="1"/>
  <c r="J140" i="1"/>
  <c r="K140" i="1"/>
  <c r="M140" i="1"/>
  <c r="A3938" i="1"/>
  <c r="G3938" i="1"/>
  <c r="H3938" i="1"/>
  <c r="I3938" i="1"/>
  <c r="J3938" i="1"/>
  <c r="K3938" i="1"/>
  <c r="M3938" i="1"/>
  <c r="A141" i="1"/>
  <c r="G141" i="1"/>
  <c r="H141" i="1"/>
  <c r="I141" i="1"/>
  <c r="J141" i="1"/>
  <c r="M141" i="1"/>
  <c r="A3939" i="1"/>
  <c r="G3939" i="1"/>
  <c r="H3939" i="1"/>
  <c r="I3939" i="1"/>
  <c r="J3939" i="1"/>
  <c r="K3939" i="1"/>
  <c r="M3939" i="1"/>
  <c r="A142" i="1"/>
  <c r="G142" i="1"/>
  <c r="H142" i="1"/>
  <c r="I142" i="1"/>
  <c r="J142" i="1"/>
  <c r="K142" i="1"/>
  <c r="M142" i="1"/>
  <c r="A3940" i="1"/>
  <c r="G3940" i="1"/>
  <c r="H3940" i="1"/>
  <c r="I3940" i="1"/>
  <c r="J3940" i="1"/>
  <c r="K3940" i="1"/>
  <c r="M3940" i="1"/>
  <c r="A2558" i="1"/>
  <c r="G2558" i="1"/>
  <c r="H2558" i="1"/>
  <c r="I2558" i="1"/>
  <c r="J2558" i="1"/>
  <c r="K2558" i="1"/>
  <c r="M2558" i="1"/>
  <c r="A1560" i="1"/>
  <c r="G1560" i="1"/>
  <c r="H1560" i="1"/>
  <c r="I1560" i="1"/>
  <c r="J1560" i="1"/>
  <c r="K1560" i="1"/>
  <c r="M1560" i="1"/>
  <c r="A2559" i="1"/>
  <c r="G2559" i="1"/>
  <c r="H2559" i="1"/>
  <c r="I2559" i="1"/>
  <c r="J2559" i="1"/>
  <c r="K2559" i="1"/>
  <c r="M2559" i="1"/>
  <c r="A3941" i="1"/>
  <c r="G3941" i="1"/>
  <c r="H3941" i="1"/>
  <c r="I3941" i="1"/>
  <c r="J3941" i="1"/>
  <c r="K3941" i="1"/>
  <c r="M3941" i="1"/>
  <c r="A1561" i="1"/>
  <c r="G1561" i="1"/>
  <c r="H1561" i="1"/>
  <c r="I1561" i="1"/>
  <c r="J1561" i="1"/>
  <c r="K1561" i="1"/>
  <c r="M1561" i="1"/>
  <c r="A2560" i="1"/>
  <c r="G2560" i="1"/>
  <c r="H2560" i="1"/>
  <c r="I2560" i="1"/>
  <c r="J2560" i="1"/>
  <c r="K2560" i="1"/>
  <c r="M2560" i="1"/>
  <c r="A3942" i="1"/>
  <c r="G3942" i="1"/>
  <c r="H3942" i="1"/>
  <c r="I3942" i="1"/>
  <c r="J3942" i="1"/>
  <c r="K3942" i="1"/>
  <c r="M3942" i="1"/>
  <c r="A4762" i="1"/>
  <c r="G4762" i="1"/>
  <c r="H4762" i="1"/>
  <c r="I4762" i="1"/>
  <c r="J4762" i="1"/>
  <c r="M4762" i="1"/>
  <c r="A2818" i="1"/>
  <c r="G2818" i="1"/>
  <c r="H2818" i="1"/>
  <c r="I2818" i="1"/>
  <c r="J2818" i="1"/>
  <c r="K2818" i="1"/>
  <c r="M2818" i="1"/>
  <c r="A3943" i="1"/>
  <c r="G3943" i="1"/>
  <c r="H3943" i="1"/>
  <c r="I3943" i="1"/>
  <c r="J3943" i="1"/>
  <c r="K3943" i="1"/>
  <c r="M3943" i="1"/>
  <c r="A4763" i="1"/>
  <c r="G4763" i="1"/>
  <c r="H4763" i="1"/>
  <c r="I4763" i="1"/>
  <c r="J4763" i="1"/>
  <c r="M4763" i="1"/>
  <c r="A3944" i="1"/>
  <c r="G3944" i="1"/>
  <c r="H3944" i="1"/>
  <c r="I3944" i="1"/>
  <c r="J3944" i="1"/>
  <c r="K3944" i="1"/>
  <c r="M3944" i="1"/>
  <c r="A1562" i="1"/>
  <c r="G1562" i="1"/>
  <c r="H1562" i="1"/>
  <c r="I1562" i="1"/>
  <c r="J1562" i="1"/>
  <c r="K1562" i="1"/>
  <c r="M1562" i="1"/>
  <c r="A2561" i="1"/>
  <c r="G2561" i="1"/>
  <c r="H2561" i="1"/>
  <c r="I2561" i="1"/>
  <c r="J2561" i="1"/>
  <c r="A143" i="1"/>
  <c r="G143" i="1"/>
  <c r="H143" i="1"/>
  <c r="I143" i="1"/>
  <c r="J143" i="1"/>
  <c r="K143" i="1"/>
  <c r="M143" i="1"/>
  <c r="A1563" i="1"/>
  <c r="G1563" i="1"/>
  <c r="H1563" i="1"/>
  <c r="I1563" i="1"/>
  <c r="J1563" i="1"/>
  <c r="K1563" i="1"/>
  <c r="M1563" i="1"/>
  <c r="A1564" i="1"/>
  <c r="G1564" i="1"/>
  <c r="H1564" i="1"/>
  <c r="I1564" i="1"/>
  <c r="J1564" i="1"/>
  <c r="K1564" i="1"/>
  <c r="M1564" i="1"/>
  <c r="A2893" i="1"/>
  <c r="G2893" i="1"/>
  <c r="H2893" i="1"/>
  <c r="I2893" i="1"/>
  <c r="J2893" i="1"/>
  <c r="K2893" i="1"/>
  <c r="M2893" i="1"/>
  <c r="A2562" i="1"/>
  <c r="G2562" i="1"/>
  <c r="H2562" i="1"/>
  <c r="I2562" i="1"/>
  <c r="J2562" i="1"/>
  <c r="K2562" i="1"/>
  <c r="M2562" i="1"/>
  <c r="A144" i="1"/>
  <c r="G144" i="1"/>
  <c r="H144" i="1"/>
  <c r="I144" i="1"/>
  <c r="J144" i="1"/>
  <c r="K144" i="1"/>
  <c r="M144" i="1"/>
  <c r="A3945" i="1"/>
  <c r="G3945" i="1"/>
  <c r="H3945" i="1"/>
  <c r="I3945" i="1"/>
  <c r="J3945" i="1"/>
  <c r="K3945" i="1"/>
  <c r="M3945" i="1"/>
  <c r="A1565" i="1"/>
  <c r="G1565" i="1"/>
  <c r="H1565" i="1"/>
  <c r="I1565" i="1"/>
  <c r="J1565" i="1"/>
  <c r="M1565" i="1"/>
  <c r="A145" i="1"/>
  <c r="G145" i="1"/>
  <c r="H145" i="1"/>
  <c r="I145" i="1"/>
  <c r="J145" i="1"/>
  <c r="K145" i="1"/>
  <c r="M145" i="1"/>
  <c r="A4337" i="1"/>
  <c r="G4337" i="1"/>
  <c r="H4337" i="1"/>
  <c r="I4337" i="1"/>
  <c r="J4337" i="1"/>
  <c r="A3946" i="1"/>
  <c r="G3946" i="1"/>
  <c r="H3946" i="1"/>
  <c r="I3946" i="1"/>
  <c r="J3946" i="1"/>
  <c r="A1566" i="1"/>
  <c r="G1566" i="1"/>
  <c r="H1566" i="1"/>
  <c r="I1566" i="1"/>
  <c r="J1566" i="1"/>
  <c r="K1566" i="1"/>
  <c r="M1566" i="1"/>
  <c r="A146" i="1"/>
  <c r="G146" i="1"/>
  <c r="H146" i="1"/>
  <c r="I146" i="1"/>
  <c r="J146" i="1"/>
  <c r="K146" i="1"/>
  <c r="M146" i="1"/>
  <c r="A1567" i="1"/>
  <c r="G1567" i="1"/>
  <c r="H1567" i="1"/>
  <c r="I1567" i="1"/>
  <c r="J1567" i="1"/>
  <c r="K1567" i="1"/>
  <c r="M1567" i="1"/>
  <c r="A2563" i="1"/>
  <c r="G2563" i="1"/>
  <c r="H2563" i="1"/>
  <c r="I2563" i="1"/>
  <c r="J2563" i="1"/>
  <c r="A2564" i="1"/>
  <c r="G2564" i="1"/>
  <c r="H2564" i="1"/>
  <c r="I2564" i="1"/>
  <c r="J2564" i="1"/>
  <c r="K2564" i="1"/>
  <c r="M2564" i="1"/>
  <c r="A3947" i="1"/>
  <c r="G3947" i="1"/>
  <c r="H3947" i="1"/>
  <c r="I3947" i="1"/>
  <c r="J3947" i="1"/>
  <c r="K3947" i="1"/>
  <c r="M3947" i="1"/>
  <c r="A3948" i="1"/>
  <c r="G3948" i="1"/>
  <c r="H3948" i="1"/>
  <c r="I3948" i="1"/>
  <c r="J3948" i="1"/>
  <c r="K3948" i="1"/>
  <c r="M3948" i="1"/>
  <c r="A147" i="1"/>
  <c r="G147" i="1"/>
  <c r="H147" i="1"/>
  <c r="I147" i="1"/>
  <c r="J147" i="1"/>
  <c r="K147" i="1"/>
  <c r="M147" i="1"/>
  <c r="A4565" i="1"/>
  <c r="G4565" i="1"/>
  <c r="H4565" i="1"/>
  <c r="I4565" i="1"/>
  <c r="J4565" i="1"/>
  <c r="M4565" i="1"/>
  <c r="A1568" i="1"/>
  <c r="G1568" i="1"/>
  <c r="H1568" i="1"/>
  <c r="I1568" i="1"/>
  <c r="J1568" i="1"/>
  <c r="K1568" i="1"/>
  <c r="M1568" i="1"/>
  <c r="A1569" i="1"/>
  <c r="G1569" i="1"/>
  <c r="H1569" i="1"/>
  <c r="I1569" i="1"/>
  <c r="J1569" i="1"/>
  <c r="K1569" i="1"/>
  <c r="M1569" i="1"/>
  <c r="A1570" i="1"/>
  <c r="G1570" i="1"/>
  <c r="H1570" i="1"/>
  <c r="I1570" i="1"/>
  <c r="J1570" i="1"/>
  <c r="K1570" i="1"/>
  <c r="M1570" i="1"/>
  <c r="A4806" i="1"/>
  <c r="G4806" i="1"/>
  <c r="H4806" i="1"/>
  <c r="I4806" i="1"/>
  <c r="J4806" i="1"/>
  <c r="K4806" i="1"/>
  <c r="M4806" i="1"/>
  <c r="A4566" i="1"/>
  <c r="G4566" i="1"/>
  <c r="H4566" i="1"/>
  <c r="I4566" i="1"/>
  <c r="J4566" i="1"/>
  <c r="M4566" i="1"/>
  <c r="A1571" i="1"/>
  <c r="G1571" i="1"/>
  <c r="H1571" i="1"/>
  <c r="I1571" i="1"/>
  <c r="J1571" i="1"/>
  <c r="K1571" i="1"/>
  <c r="M1571" i="1"/>
  <c r="A148" i="1"/>
  <c r="G148" i="1"/>
  <c r="H148" i="1"/>
  <c r="I148" i="1"/>
  <c r="J148" i="1"/>
  <c r="K148" i="1"/>
  <c r="M148" i="1"/>
  <c r="A149" i="1"/>
  <c r="G149" i="1"/>
  <c r="H149" i="1"/>
  <c r="I149" i="1"/>
  <c r="J149" i="1"/>
  <c r="K149" i="1"/>
  <c r="M149" i="1"/>
  <c r="A3949" i="1"/>
  <c r="G3949" i="1"/>
  <c r="H3949" i="1"/>
  <c r="I3949" i="1"/>
  <c r="J3949" i="1"/>
  <c r="K3949" i="1"/>
  <c r="M3949" i="1"/>
  <c r="A4622" i="1"/>
  <c r="G4622" i="1"/>
  <c r="H4622" i="1"/>
  <c r="I4622" i="1"/>
  <c r="J4622" i="1"/>
  <c r="A1572" i="1"/>
  <c r="G1572" i="1"/>
  <c r="H1572" i="1"/>
  <c r="I1572" i="1"/>
  <c r="J1572" i="1"/>
  <c r="K1572" i="1"/>
  <c r="M1572" i="1"/>
  <c r="A2819" i="1"/>
  <c r="G2819" i="1"/>
  <c r="H2819" i="1"/>
  <c r="I2819" i="1"/>
  <c r="J2819" i="1"/>
  <c r="K2819" i="1"/>
  <c r="M2819" i="1"/>
  <c r="A1573" i="1"/>
  <c r="G1573" i="1"/>
  <c r="H1573" i="1"/>
  <c r="I1573" i="1"/>
  <c r="J1573" i="1"/>
  <c r="K1573" i="1"/>
  <c r="M1573" i="1"/>
  <c r="A3950" i="1"/>
  <c r="G3950" i="1"/>
  <c r="H3950" i="1"/>
  <c r="I3950" i="1"/>
  <c r="J3950" i="1"/>
  <c r="K3950" i="1"/>
  <c r="M3950" i="1"/>
  <c r="A3951" i="1"/>
  <c r="G3951" i="1"/>
  <c r="H3951" i="1"/>
  <c r="I3951" i="1"/>
  <c r="J3951" i="1"/>
  <c r="A2565" i="1"/>
  <c r="G2565" i="1"/>
  <c r="H2565" i="1"/>
  <c r="I2565" i="1"/>
  <c r="J2565" i="1"/>
  <c r="K2565" i="1"/>
  <c r="M2565" i="1"/>
  <c r="A1574" i="1"/>
  <c r="G1574" i="1"/>
  <c r="H1574" i="1"/>
  <c r="I1574" i="1"/>
  <c r="J1574" i="1"/>
  <c r="K1574" i="1"/>
  <c r="M1574" i="1"/>
  <c r="A4567" i="1"/>
  <c r="G4567" i="1"/>
  <c r="H4567" i="1"/>
  <c r="I4567" i="1"/>
  <c r="J4567" i="1"/>
  <c r="M4567" i="1"/>
  <c r="A2566" i="1"/>
  <c r="G2566" i="1"/>
  <c r="H2566" i="1"/>
  <c r="I2566" i="1"/>
  <c r="J2566" i="1"/>
  <c r="M2566" i="1"/>
  <c r="A4633" i="1"/>
  <c r="G4633" i="1"/>
  <c r="H4633" i="1"/>
  <c r="I4633" i="1"/>
  <c r="J4633" i="1"/>
  <c r="A3952" i="1"/>
  <c r="G3952" i="1"/>
  <c r="H3952" i="1"/>
  <c r="I3952" i="1"/>
  <c r="J3952" i="1"/>
  <c r="A2567" i="1"/>
  <c r="G2567" i="1"/>
  <c r="H2567" i="1"/>
  <c r="I2567" i="1"/>
  <c r="J2567" i="1"/>
  <c r="K2567" i="1"/>
  <c r="M2567" i="1"/>
  <c r="A2568" i="1"/>
  <c r="G2568" i="1"/>
  <c r="H2568" i="1"/>
  <c r="I2568" i="1"/>
  <c r="J2568" i="1"/>
  <c r="A3953" i="1"/>
  <c r="G3953" i="1"/>
  <c r="H3953" i="1"/>
  <c r="I3953" i="1"/>
  <c r="J3953" i="1"/>
  <c r="K3953" i="1"/>
  <c r="M3953" i="1"/>
  <c r="A1575" i="1"/>
  <c r="G1575" i="1"/>
  <c r="H1575" i="1"/>
  <c r="I1575" i="1"/>
  <c r="J1575" i="1"/>
  <c r="M1575" i="1"/>
  <c r="A4174" i="1"/>
  <c r="G4174" i="1"/>
  <c r="H4174" i="1"/>
  <c r="I4174" i="1"/>
  <c r="J4174" i="1"/>
  <c r="K4174" i="1"/>
  <c r="M4174" i="1"/>
  <c r="A3954" i="1"/>
  <c r="G3954" i="1"/>
  <c r="H3954" i="1"/>
  <c r="I3954" i="1"/>
  <c r="J3954" i="1"/>
  <c r="A3955" i="1"/>
  <c r="G3955" i="1"/>
  <c r="H3955" i="1"/>
  <c r="I3955" i="1"/>
  <c r="J3955" i="1"/>
  <c r="A2569" i="1"/>
  <c r="G2569" i="1"/>
  <c r="H2569" i="1"/>
  <c r="I2569" i="1"/>
  <c r="J2569" i="1"/>
  <c r="A4764" i="1"/>
  <c r="G4764" i="1"/>
  <c r="H4764" i="1"/>
  <c r="I4764" i="1"/>
  <c r="J4764" i="1"/>
  <c r="M4764" i="1"/>
  <c r="A1576" i="1"/>
  <c r="G1576" i="1"/>
  <c r="H1576" i="1"/>
  <c r="I1576" i="1"/>
  <c r="J1576" i="1"/>
  <c r="M1576" i="1"/>
  <c r="A3956" i="1"/>
  <c r="G3956" i="1"/>
  <c r="H3956" i="1"/>
  <c r="I3956" i="1"/>
  <c r="J3956" i="1"/>
  <c r="K3956" i="1"/>
  <c r="M3956" i="1"/>
  <c r="A3957" i="1"/>
  <c r="G3957" i="1"/>
  <c r="H3957" i="1"/>
  <c r="I3957" i="1"/>
  <c r="J3957" i="1"/>
  <c r="K3957" i="1"/>
  <c r="M3957" i="1"/>
  <c r="A2570" i="1"/>
  <c r="G2570" i="1"/>
  <c r="H2570" i="1"/>
  <c r="I2570" i="1"/>
  <c r="J2570" i="1"/>
  <c r="K2570" i="1"/>
  <c r="M2570" i="1"/>
  <c r="A1577" i="1"/>
  <c r="G1577" i="1"/>
  <c r="H1577" i="1"/>
  <c r="I1577" i="1"/>
  <c r="J1577" i="1"/>
  <c r="K1577" i="1"/>
  <c r="M1577" i="1"/>
  <c r="A1578" i="1"/>
  <c r="G1578" i="1"/>
  <c r="H1578" i="1"/>
  <c r="I1578" i="1"/>
  <c r="J1578" i="1"/>
  <c r="K1578" i="1"/>
  <c r="M1578" i="1"/>
  <c r="A2571" i="1"/>
  <c r="G2571" i="1"/>
  <c r="H2571" i="1"/>
  <c r="I2571" i="1"/>
  <c r="J2571" i="1"/>
  <c r="A1579" i="1"/>
  <c r="G1579" i="1"/>
  <c r="H1579" i="1"/>
  <c r="I1579" i="1"/>
  <c r="J1579" i="1"/>
  <c r="L1579" i="1"/>
  <c r="M1579" i="1"/>
  <c r="A1580" i="1"/>
  <c r="G1580" i="1"/>
  <c r="H1580" i="1"/>
  <c r="I1580" i="1"/>
  <c r="J1580" i="1"/>
  <c r="M1580" i="1"/>
  <c r="A3958" i="1"/>
  <c r="G3958" i="1"/>
  <c r="H3958" i="1"/>
  <c r="I3958" i="1"/>
  <c r="J3958" i="1"/>
  <c r="K3958" i="1"/>
  <c r="M3958" i="1"/>
  <c r="A2572" i="1"/>
  <c r="G2572" i="1"/>
  <c r="H2572" i="1"/>
  <c r="I2572" i="1"/>
  <c r="J2572" i="1"/>
  <c r="K2572" i="1"/>
  <c r="M2572" i="1"/>
  <c r="A3959" i="1"/>
  <c r="G3959" i="1"/>
  <c r="H3959" i="1"/>
  <c r="I3959" i="1"/>
  <c r="J3959" i="1"/>
  <c r="K3959" i="1"/>
  <c r="M3959" i="1"/>
  <c r="A1581" i="1"/>
  <c r="G1581" i="1"/>
  <c r="H1581" i="1"/>
  <c r="I1581" i="1"/>
  <c r="J1581" i="1"/>
  <c r="K1581" i="1"/>
  <c r="M1581" i="1"/>
  <c r="A4568" i="1"/>
  <c r="G4568" i="1"/>
  <c r="H4568" i="1"/>
  <c r="I4568" i="1"/>
  <c r="J4568" i="1"/>
  <c r="K4568" i="1"/>
  <c r="M4568" i="1"/>
  <c r="A1582" i="1"/>
  <c r="G1582" i="1"/>
  <c r="H1582" i="1"/>
  <c r="I1582" i="1"/>
  <c r="J1582" i="1"/>
  <c r="K1582" i="1"/>
  <c r="M1582" i="1"/>
  <c r="A3960" i="1"/>
  <c r="G3960" i="1"/>
  <c r="H3960" i="1"/>
  <c r="I3960" i="1"/>
  <c r="J3960" i="1"/>
  <c r="K3960" i="1"/>
  <c r="M3960" i="1"/>
  <c r="A3961" i="1"/>
  <c r="G3961" i="1"/>
  <c r="H3961" i="1"/>
  <c r="I3961" i="1"/>
  <c r="J3961" i="1"/>
  <c r="K3961" i="1"/>
  <c r="M3961" i="1"/>
  <c r="A3962" i="1"/>
  <c r="G3962" i="1"/>
  <c r="H3962" i="1"/>
  <c r="I3962" i="1"/>
  <c r="J3962" i="1"/>
  <c r="K3962" i="1"/>
  <c r="M3962" i="1"/>
  <c r="A4569" i="1"/>
  <c r="G4569" i="1"/>
  <c r="H4569" i="1"/>
  <c r="I4569" i="1"/>
  <c r="J4569" i="1"/>
  <c r="K4569" i="1"/>
  <c r="M4569" i="1"/>
  <c r="A1583" i="1"/>
  <c r="G1583" i="1"/>
  <c r="H1583" i="1"/>
  <c r="I1583" i="1"/>
  <c r="J1583" i="1"/>
  <c r="M1583" i="1"/>
  <c r="A3963" i="1"/>
  <c r="G3963" i="1"/>
  <c r="H3963" i="1"/>
  <c r="I3963" i="1"/>
  <c r="J3963" i="1"/>
  <c r="A3964" i="1"/>
  <c r="G3964" i="1"/>
  <c r="H3964" i="1"/>
  <c r="I3964" i="1"/>
  <c r="J3964" i="1"/>
  <c r="K3964" i="1"/>
  <c r="M3964" i="1"/>
  <c r="A2573" i="1"/>
  <c r="G2573" i="1"/>
  <c r="H2573" i="1"/>
  <c r="I2573" i="1"/>
  <c r="J2573" i="1"/>
  <c r="K2573" i="1"/>
  <c r="M2573" i="1"/>
  <c r="A2574" i="1"/>
  <c r="G2574" i="1"/>
  <c r="H2574" i="1"/>
  <c r="I2574" i="1"/>
  <c r="J2574" i="1"/>
  <c r="K2574" i="1"/>
  <c r="M2574" i="1"/>
  <c r="A4312" i="1"/>
  <c r="G4312" i="1"/>
  <c r="H4312" i="1"/>
  <c r="I4312" i="1"/>
  <c r="J4312" i="1"/>
  <c r="K4312" i="1"/>
  <c r="M4312" i="1"/>
  <c r="A2894" i="1"/>
  <c r="G2894" i="1"/>
  <c r="H2894" i="1"/>
  <c r="I2894" i="1"/>
  <c r="J2894" i="1"/>
  <c r="K2894" i="1"/>
  <c r="M2894" i="1"/>
  <c r="A1584" i="1"/>
  <c r="G1584" i="1"/>
  <c r="H1584" i="1"/>
  <c r="I1584" i="1"/>
  <c r="J1584" i="1"/>
  <c r="K1584" i="1"/>
  <c r="M1584" i="1"/>
  <c r="A2575" i="1"/>
  <c r="G2575" i="1"/>
  <c r="H2575" i="1"/>
  <c r="I2575" i="1"/>
  <c r="J2575" i="1"/>
  <c r="K2575" i="1"/>
  <c r="M2575" i="1"/>
  <c r="A4570" i="1"/>
  <c r="G4570" i="1"/>
  <c r="H4570" i="1"/>
  <c r="I4570" i="1"/>
  <c r="J4570" i="1"/>
  <c r="K4570" i="1"/>
  <c r="M4570" i="1"/>
  <c r="A1585" i="1"/>
  <c r="G1585" i="1"/>
  <c r="H1585" i="1"/>
  <c r="I1585" i="1"/>
  <c r="J1585" i="1"/>
  <c r="M1585" i="1"/>
  <c r="A3965" i="1"/>
  <c r="G3965" i="1"/>
  <c r="H3965" i="1"/>
  <c r="I3965" i="1"/>
  <c r="J3965" i="1"/>
  <c r="A3966" i="1"/>
  <c r="G3966" i="1"/>
  <c r="H3966" i="1"/>
  <c r="I3966" i="1"/>
  <c r="J3966" i="1"/>
  <c r="A3967" i="1"/>
  <c r="G3967" i="1"/>
  <c r="H3967" i="1"/>
  <c r="I3967" i="1"/>
  <c r="J3967" i="1"/>
  <c r="K3967" i="1"/>
  <c r="M3967" i="1"/>
  <c r="A2576" i="1"/>
  <c r="G2576" i="1"/>
  <c r="H2576" i="1"/>
  <c r="I2576" i="1"/>
  <c r="J2576" i="1"/>
  <c r="K2576" i="1"/>
  <c r="M2576" i="1"/>
  <c r="A1586" i="1"/>
  <c r="G1586" i="1"/>
  <c r="H1586" i="1"/>
  <c r="I1586" i="1"/>
  <c r="J1586" i="1"/>
  <c r="K1586" i="1"/>
  <c r="M1586" i="1"/>
  <c r="A1587" i="1"/>
  <c r="G1587" i="1"/>
  <c r="H1587" i="1"/>
  <c r="I1587" i="1"/>
  <c r="J1587" i="1"/>
  <c r="K1587" i="1"/>
  <c r="M1587" i="1"/>
  <c r="A3968" i="1"/>
  <c r="G3968" i="1"/>
  <c r="H3968" i="1"/>
  <c r="I3968" i="1"/>
  <c r="J3968" i="1"/>
  <c r="A2577" i="1"/>
  <c r="G2577" i="1"/>
  <c r="H2577" i="1"/>
  <c r="I2577" i="1"/>
  <c r="J2577" i="1"/>
  <c r="K2577" i="1"/>
  <c r="M2577" i="1"/>
  <c r="A3969" i="1"/>
  <c r="G3969" i="1"/>
  <c r="H3969" i="1"/>
  <c r="I3969" i="1"/>
  <c r="J3969" i="1"/>
  <c r="K3969" i="1"/>
  <c r="M3969" i="1"/>
  <c r="A2578" i="1"/>
  <c r="G2578" i="1"/>
  <c r="H2578" i="1"/>
  <c r="I2578" i="1"/>
  <c r="J2578" i="1"/>
  <c r="K2578" i="1"/>
  <c r="M2578" i="1"/>
  <c r="A2579" i="1"/>
  <c r="G2579" i="1"/>
  <c r="H2579" i="1"/>
  <c r="I2579" i="1"/>
  <c r="J2579" i="1"/>
  <c r="K2579" i="1"/>
  <c r="M2579" i="1"/>
  <c r="A2580" i="1"/>
  <c r="G2580" i="1"/>
  <c r="H2580" i="1"/>
  <c r="I2580" i="1"/>
  <c r="J2580" i="1"/>
  <c r="K2580" i="1"/>
  <c r="M2580" i="1"/>
  <c r="A1588" i="1"/>
  <c r="G1588" i="1"/>
  <c r="H1588" i="1"/>
  <c r="I1588" i="1"/>
  <c r="J1588" i="1"/>
  <c r="K1588" i="1"/>
  <c r="M1588" i="1"/>
  <c r="A4765" i="1"/>
  <c r="G4765" i="1"/>
  <c r="H4765" i="1"/>
  <c r="I4765" i="1"/>
  <c r="J4765" i="1"/>
  <c r="M4765" i="1"/>
  <c r="A2581" i="1"/>
  <c r="G2581" i="1"/>
  <c r="H2581" i="1"/>
  <c r="I2581" i="1"/>
  <c r="J2581" i="1"/>
  <c r="K2581" i="1"/>
  <c r="M2581" i="1"/>
  <c r="A150" i="1"/>
  <c r="G150" i="1"/>
  <c r="H150" i="1"/>
  <c r="I150" i="1"/>
  <c r="J150" i="1"/>
  <c r="K150" i="1"/>
  <c r="M150" i="1"/>
  <c r="A3970" i="1"/>
  <c r="G3970" i="1"/>
  <c r="H3970" i="1"/>
  <c r="I3970" i="1"/>
  <c r="J3970" i="1"/>
  <c r="K3970" i="1"/>
  <c r="M3970" i="1"/>
  <c r="A1589" i="1"/>
  <c r="G1589" i="1"/>
  <c r="H1589" i="1"/>
  <c r="I1589" i="1"/>
  <c r="J1589" i="1"/>
  <c r="M1589" i="1"/>
  <c r="A1590" i="1"/>
  <c r="G1590" i="1"/>
  <c r="H1590" i="1"/>
  <c r="I1590" i="1"/>
  <c r="J1590" i="1"/>
  <c r="K1590" i="1"/>
  <c r="M1590" i="1"/>
  <c r="A1591" i="1"/>
  <c r="G1591" i="1"/>
  <c r="H1591" i="1"/>
  <c r="I1591" i="1"/>
  <c r="J1591" i="1"/>
  <c r="K1591" i="1"/>
  <c r="M1591" i="1"/>
  <c r="A4280" i="1"/>
  <c r="G4280" i="1"/>
  <c r="H4280" i="1"/>
  <c r="I4280" i="1"/>
  <c r="J4280" i="1"/>
  <c r="K4280" i="1"/>
  <c r="M4280" i="1"/>
  <c r="A2582" i="1"/>
  <c r="G2582" i="1"/>
  <c r="H2582" i="1"/>
  <c r="I2582" i="1"/>
  <c r="J2582" i="1"/>
  <c r="K2582" i="1"/>
  <c r="M2582" i="1"/>
  <c r="A1592" i="1"/>
  <c r="G1592" i="1"/>
  <c r="H1592" i="1"/>
  <c r="I1592" i="1"/>
  <c r="J1592" i="1"/>
  <c r="K1592" i="1"/>
  <c r="M1592" i="1"/>
  <c r="A3971" i="1"/>
  <c r="G3971" i="1"/>
  <c r="H3971" i="1"/>
  <c r="I3971" i="1"/>
  <c r="J3971" i="1"/>
  <c r="A2583" i="1"/>
  <c r="G2583" i="1"/>
  <c r="H2583" i="1"/>
  <c r="I2583" i="1"/>
  <c r="J2583" i="1"/>
  <c r="K2583" i="1"/>
  <c r="M2583" i="1"/>
  <c r="A2584" i="1"/>
  <c r="G2584" i="1"/>
  <c r="H2584" i="1"/>
  <c r="I2584" i="1"/>
  <c r="J2584" i="1"/>
  <c r="K2584" i="1"/>
  <c r="M2584" i="1"/>
  <c r="A1593" i="1"/>
  <c r="G1593" i="1"/>
  <c r="H1593" i="1"/>
  <c r="I1593" i="1"/>
  <c r="J1593" i="1"/>
  <c r="K1593" i="1"/>
  <c r="M1593" i="1"/>
  <c r="A2585" i="1"/>
  <c r="G2585" i="1"/>
  <c r="H2585" i="1"/>
  <c r="I2585" i="1"/>
  <c r="J2585" i="1"/>
  <c r="L2585" i="1"/>
  <c r="M2585" i="1"/>
  <c r="A1594" i="1"/>
  <c r="G1594" i="1"/>
  <c r="H1594" i="1"/>
  <c r="I1594" i="1"/>
  <c r="J1594" i="1"/>
  <c r="K1594" i="1"/>
  <c r="M1594" i="1"/>
  <c r="A3972" i="1"/>
  <c r="G3972" i="1"/>
  <c r="H3972" i="1"/>
  <c r="I3972" i="1"/>
  <c r="J3972" i="1"/>
  <c r="K3972" i="1"/>
  <c r="M3972" i="1"/>
  <c r="A2586" i="1"/>
  <c r="G2586" i="1"/>
  <c r="H2586" i="1"/>
  <c r="I2586" i="1"/>
  <c r="J2586" i="1"/>
  <c r="K2586" i="1"/>
  <c r="M2586" i="1"/>
  <c r="A3973" i="1"/>
  <c r="G3973" i="1"/>
  <c r="H3973" i="1"/>
  <c r="I3973" i="1"/>
  <c r="J3973" i="1"/>
  <c r="K3973" i="1"/>
  <c r="M3973" i="1"/>
  <c r="A3974" i="1"/>
  <c r="G3974" i="1"/>
  <c r="H3974" i="1"/>
  <c r="I3974" i="1"/>
  <c r="J3974" i="1"/>
  <c r="A151" i="1"/>
  <c r="G151" i="1"/>
  <c r="H151" i="1"/>
  <c r="I151" i="1"/>
  <c r="J151" i="1"/>
  <c r="K151" i="1"/>
  <c r="M151" i="1"/>
  <c r="A1595" i="1"/>
  <c r="G1595" i="1"/>
  <c r="H1595" i="1"/>
  <c r="I1595" i="1"/>
  <c r="J1595" i="1"/>
  <c r="M1595" i="1"/>
  <c r="A1596" i="1"/>
  <c r="G1596" i="1"/>
  <c r="H1596" i="1"/>
  <c r="I1596" i="1"/>
  <c r="J1596" i="1"/>
  <c r="K1596" i="1"/>
  <c r="M1596" i="1"/>
  <c r="A2587" i="1"/>
  <c r="G2587" i="1"/>
  <c r="H2587" i="1"/>
  <c r="I2587" i="1"/>
  <c r="J2587" i="1"/>
  <c r="K2587" i="1"/>
  <c r="M2587" i="1"/>
  <c r="A2895" i="1"/>
  <c r="G2895" i="1"/>
  <c r="H2895" i="1"/>
  <c r="I2895" i="1"/>
  <c r="J2895" i="1"/>
  <c r="K2895" i="1"/>
  <c r="M2895" i="1"/>
  <c r="A2588" i="1"/>
  <c r="G2588" i="1"/>
  <c r="H2588" i="1"/>
  <c r="I2588" i="1"/>
  <c r="J2588" i="1"/>
  <c r="K2588" i="1"/>
  <c r="M2588" i="1"/>
  <c r="A4281" i="1"/>
  <c r="G4281" i="1"/>
  <c r="H4281" i="1"/>
  <c r="I4281" i="1"/>
  <c r="J4281" i="1"/>
  <c r="A3975" i="1"/>
  <c r="G3975" i="1"/>
  <c r="H3975" i="1"/>
  <c r="I3975" i="1"/>
  <c r="J3975" i="1"/>
  <c r="A2896" i="1"/>
  <c r="G2896" i="1"/>
  <c r="H2896" i="1"/>
  <c r="I2896" i="1"/>
  <c r="J2896" i="1"/>
  <c r="K2896" i="1"/>
  <c r="M2896" i="1"/>
  <c r="A1597" i="1"/>
  <c r="G1597" i="1"/>
  <c r="H1597" i="1"/>
  <c r="I1597" i="1"/>
  <c r="J1597" i="1"/>
  <c r="K1597" i="1"/>
  <c r="M1597" i="1"/>
  <c r="A1598" i="1"/>
  <c r="G1598" i="1"/>
  <c r="H1598" i="1"/>
  <c r="I1598" i="1"/>
  <c r="J1598" i="1"/>
  <c r="M1598" i="1"/>
  <c r="A3976" i="1"/>
  <c r="G3976" i="1"/>
  <c r="H3976" i="1"/>
  <c r="I3976" i="1"/>
  <c r="J3976" i="1"/>
  <c r="K3976" i="1"/>
  <c r="M3976" i="1"/>
  <c r="A1599" i="1"/>
  <c r="G1599" i="1"/>
  <c r="H1599" i="1"/>
  <c r="I1599" i="1"/>
  <c r="J1599" i="1"/>
  <c r="M1599" i="1"/>
  <c r="A3977" i="1"/>
  <c r="G3977" i="1"/>
  <c r="H3977" i="1"/>
  <c r="I3977" i="1"/>
  <c r="J3977" i="1"/>
  <c r="K3977" i="1"/>
  <c r="M3977" i="1"/>
  <c r="A3978" i="1"/>
  <c r="G3978" i="1"/>
  <c r="H3978" i="1"/>
  <c r="I3978" i="1"/>
  <c r="J3978" i="1"/>
  <c r="K3978" i="1"/>
  <c r="M3978" i="1"/>
  <c r="A2897" i="1"/>
  <c r="G2897" i="1"/>
  <c r="H2897" i="1"/>
  <c r="I2897" i="1"/>
  <c r="J2897" i="1"/>
  <c r="K2897" i="1"/>
  <c r="M2897" i="1"/>
  <c r="A1600" i="1"/>
  <c r="G1600" i="1"/>
  <c r="H1600" i="1"/>
  <c r="I1600" i="1"/>
  <c r="J1600" i="1"/>
  <c r="M1600" i="1"/>
  <c r="A1601" i="1"/>
  <c r="G1601" i="1"/>
  <c r="H1601" i="1"/>
  <c r="I1601" i="1"/>
  <c r="J1601" i="1"/>
  <c r="M1601" i="1"/>
  <c r="A4571" i="1"/>
  <c r="G4571" i="1"/>
  <c r="H4571" i="1"/>
  <c r="I4571" i="1"/>
  <c r="J4571" i="1"/>
  <c r="K4571" i="1"/>
  <c r="M4571" i="1"/>
  <c r="A2589" i="1"/>
  <c r="G2589" i="1"/>
  <c r="H2589" i="1"/>
  <c r="I2589" i="1"/>
  <c r="J2589" i="1"/>
  <c r="M2589" i="1"/>
  <c r="A4766" i="1"/>
  <c r="G4766" i="1"/>
  <c r="H4766" i="1"/>
  <c r="I4766" i="1"/>
  <c r="J4766" i="1"/>
  <c r="M4766" i="1"/>
  <c r="A3979" i="1"/>
  <c r="G3979" i="1"/>
  <c r="H3979" i="1"/>
  <c r="I3979" i="1"/>
  <c r="J3979" i="1"/>
  <c r="A2898" i="1"/>
  <c r="G2898" i="1"/>
  <c r="H2898" i="1"/>
  <c r="I2898" i="1"/>
  <c r="J2898" i="1"/>
  <c r="K2898" i="1"/>
  <c r="M2898" i="1"/>
  <c r="A1602" i="1"/>
  <c r="G1602" i="1"/>
  <c r="H1602" i="1"/>
  <c r="I1602" i="1"/>
  <c r="J1602" i="1"/>
  <c r="K1602" i="1"/>
  <c r="M1602" i="1"/>
  <c r="A1603" i="1"/>
  <c r="G1603" i="1"/>
  <c r="H1603" i="1"/>
  <c r="I1603" i="1"/>
  <c r="J1603" i="1"/>
  <c r="K1603" i="1"/>
  <c r="M1603" i="1"/>
  <c r="A3980" i="1"/>
  <c r="G3980" i="1"/>
  <c r="H3980" i="1"/>
  <c r="I3980" i="1"/>
  <c r="J3980" i="1"/>
  <c r="A2590" i="1"/>
  <c r="G2590" i="1"/>
  <c r="H2590" i="1"/>
  <c r="I2590" i="1"/>
  <c r="J2590" i="1"/>
  <c r="K2590" i="1"/>
  <c r="M2590" i="1"/>
  <c r="A3981" i="1"/>
  <c r="G3981" i="1"/>
  <c r="H3981" i="1"/>
  <c r="I3981" i="1"/>
  <c r="J3981" i="1"/>
  <c r="K3981" i="1"/>
  <c r="M3981" i="1"/>
  <c r="A4282" i="1"/>
  <c r="G4282" i="1"/>
  <c r="H4282" i="1"/>
  <c r="I4282" i="1"/>
  <c r="J4282" i="1"/>
  <c r="K4282" i="1"/>
  <c r="M4282" i="1"/>
  <c r="A3982" i="1"/>
  <c r="G3982" i="1"/>
  <c r="H3982" i="1"/>
  <c r="I3982" i="1"/>
  <c r="J3982" i="1"/>
  <c r="K3982" i="1"/>
  <c r="M3982" i="1"/>
  <c r="A1604" i="1"/>
  <c r="G1604" i="1"/>
  <c r="H1604" i="1"/>
  <c r="I1604" i="1"/>
  <c r="J1604" i="1"/>
  <c r="K1604" i="1"/>
  <c r="M1604" i="1"/>
  <c r="A4807" i="1"/>
  <c r="G4807" i="1"/>
  <c r="H4807" i="1"/>
  <c r="I4807" i="1"/>
  <c r="J4807" i="1"/>
  <c r="K4807" i="1"/>
  <c r="M4807" i="1"/>
  <c r="A1605" i="1"/>
  <c r="G1605" i="1"/>
  <c r="H1605" i="1"/>
  <c r="I1605" i="1"/>
  <c r="J1605" i="1"/>
  <c r="L1605" i="1"/>
  <c r="M1605" i="1"/>
  <c r="A2591" i="1"/>
  <c r="G2591" i="1"/>
  <c r="H2591" i="1"/>
  <c r="I2591" i="1"/>
  <c r="J2591" i="1"/>
  <c r="K2591" i="1"/>
  <c r="M2591" i="1"/>
  <c r="A3983" i="1"/>
  <c r="G3983" i="1"/>
  <c r="H3983" i="1"/>
  <c r="I3983" i="1"/>
  <c r="J3983" i="1"/>
  <c r="A3984" i="1"/>
  <c r="G3984" i="1"/>
  <c r="H3984" i="1"/>
  <c r="I3984" i="1"/>
  <c r="J3984" i="1"/>
  <c r="K3984" i="1"/>
  <c r="M3984" i="1"/>
  <c r="A1606" i="1"/>
  <c r="G1606" i="1"/>
  <c r="H1606" i="1"/>
  <c r="I1606" i="1"/>
  <c r="J1606" i="1"/>
  <c r="M1606" i="1"/>
  <c r="A3985" i="1"/>
  <c r="G3985" i="1"/>
  <c r="H3985" i="1"/>
  <c r="I3985" i="1"/>
  <c r="J3985" i="1"/>
  <c r="A2592" i="1"/>
  <c r="G2592" i="1"/>
  <c r="H2592" i="1"/>
  <c r="I2592" i="1"/>
  <c r="J2592" i="1"/>
  <c r="A1607" i="1"/>
  <c r="G1607" i="1"/>
  <c r="H1607" i="1"/>
  <c r="I1607" i="1"/>
  <c r="J1607" i="1"/>
  <c r="M1607" i="1"/>
  <c r="A1608" i="1"/>
  <c r="G1608" i="1"/>
  <c r="H1608" i="1"/>
  <c r="I1608" i="1"/>
  <c r="J1608" i="1"/>
  <c r="K1608" i="1"/>
  <c r="M1608" i="1"/>
  <c r="A3986" i="1"/>
  <c r="G3986" i="1"/>
  <c r="H3986" i="1"/>
  <c r="I3986" i="1"/>
  <c r="J3986" i="1"/>
  <c r="A1609" i="1"/>
  <c r="G1609" i="1"/>
  <c r="H1609" i="1"/>
  <c r="I1609" i="1"/>
  <c r="J1609" i="1"/>
  <c r="K1609" i="1"/>
  <c r="M1609" i="1"/>
  <c r="A3987" i="1"/>
  <c r="G3987" i="1"/>
  <c r="H3987" i="1"/>
  <c r="I3987" i="1"/>
  <c r="J3987" i="1"/>
  <c r="K3987" i="1"/>
  <c r="M3987" i="1"/>
  <c r="A1610" i="1"/>
  <c r="G1610" i="1"/>
  <c r="H1610" i="1"/>
  <c r="I1610" i="1"/>
  <c r="J1610" i="1"/>
  <c r="M1610" i="1"/>
  <c r="A3988" i="1"/>
  <c r="G3988" i="1"/>
  <c r="H3988" i="1"/>
  <c r="I3988" i="1"/>
  <c r="J3988" i="1"/>
  <c r="K3988" i="1"/>
  <c r="M3988" i="1"/>
  <c r="A3989" i="1"/>
  <c r="G3989" i="1"/>
  <c r="H3989" i="1"/>
  <c r="I3989" i="1"/>
  <c r="J3989" i="1"/>
  <c r="K3989" i="1"/>
  <c r="M3989" i="1"/>
  <c r="A1611" i="1"/>
  <c r="G1611" i="1"/>
  <c r="H1611" i="1"/>
  <c r="I1611" i="1"/>
  <c r="J1611" i="1"/>
  <c r="K1611" i="1"/>
  <c r="M1611" i="1"/>
  <c r="A1612" i="1"/>
  <c r="G1612" i="1"/>
  <c r="H1612" i="1"/>
  <c r="I1612" i="1"/>
  <c r="J1612" i="1"/>
  <c r="M1612" i="1"/>
  <c r="A4623" i="1"/>
  <c r="G4623" i="1"/>
  <c r="H4623" i="1"/>
  <c r="I4623" i="1"/>
  <c r="J4623" i="1"/>
  <c r="A1613" i="1"/>
  <c r="G1613" i="1"/>
  <c r="H1613" i="1"/>
  <c r="I1613" i="1"/>
  <c r="J1613" i="1"/>
  <c r="K1613" i="1"/>
  <c r="M1613" i="1"/>
  <c r="A1614" i="1"/>
  <c r="G1614" i="1"/>
  <c r="H1614" i="1"/>
  <c r="I1614" i="1"/>
  <c r="J1614" i="1"/>
  <c r="K1614" i="1"/>
  <c r="M1614" i="1"/>
  <c r="A3990" i="1"/>
  <c r="G3990" i="1"/>
  <c r="H3990" i="1"/>
  <c r="I3990" i="1"/>
  <c r="J3990" i="1"/>
  <c r="K3990" i="1"/>
  <c r="M3990" i="1"/>
  <c r="A1615" i="1"/>
  <c r="G1615" i="1"/>
  <c r="H1615" i="1"/>
  <c r="I1615" i="1"/>
  <c r="J1615" i="1"/>
  <c r="K1615" i="1"/>
  <c r="M1615" i="1"/>
  <c r="A1616" i="1"/>
  <c r="G1616" i="1"/>
  <c r="H1616" i="1"/>
  <c r="I1616" i="1"/>
  <c r="J1616" i="1"/>
  <c r="K1616" i="1"/>
  <c r="M1616" i="1"/>
  <c r="A2593" i="1"/>
  <c r="G2593" i="1"/>
  <c r="H2593" i="1"/>
  <c r="I2593" i="1"/>
  <c r="J2593" i="1"/>
  <c r="K2593" i="1"/>
  <c r="M2593" i="1"/>
  <c r="A1617" i="1"/>
  <c r="G1617" i="1"/>
  <c r="H1617" i="1"/>
  <c r="I1617" i="1"/>
  <c r="J1617" i="1"/>
  <c r="K1617" i="1"/>
  <c r="M1617" i="1"/>
  <c r="A2594" i="1"/>
  <c r="G2594" i="1"/>
  <c r="H2594" i="1"/>
  <c r="I2594" i="1"/>
  <c r="J2594" i="1"/>
  <c r="A3991" i="1"/>
  <c r="G3991" i="1"/>
  <c r="H3991" i="1"/>
  <c r="I3991" i="1"/>
  <c r="J3991" i="1"/>
  <c r="K3991" i="1"/>
  <c r="M3991" i="1"/>
  <c r="A1618" i="1"/>
  <c r="G1618" i="1"/>
  <c r="H1618" i="1"/>
  <c r="I1618" i="1"/>
  <c r="J1618" i="1"/>
  <c r="M1618" i="1"/>
  <c r="A3992" i="1"/>
  <c r="G3992" i="1"/>
  <c r="H3992" i="1"/>
  <c r="I3992" i="1"/>
  <c r="J3992" i="1"/>
  <c r="K3992" i="1"/>
  <c r="M3992" i="1"/>
  <c r="A2595" i="1"/>
  <c r="G2595" i="1"/>
  <c r="H2595" i="1"/>
  <c r="I2595" i="1"/>
  <c r="J2595" i="1"/>
  <c r="K2595" i="1"/>
  <c r="M2595" i="1"/>
  <c r="A1619" i="1"/>
  <c r="G1619" i="1"/>
  <c r="H1619" i="1"/>
  <c r="I1619" i="1"/>
  <c r="J1619" i="1"/>
  <c r="K1619" i="1"/>
  <c r="M1619" i="1"/>
  <c r="A2596" i="1"/>
  <c r="G2596" i="1"/>
  <c r="H2596" i="1"/>
  <c r="I2596" i="1"/>
  <c r="J2596" i="1"/>
  <c r="K2596" i="1"/>
  <c r="M2596" i="1"/>
  <c r="A1620" i="1"/>
  <c r="G1620" i="1"/>
  <c r="H1620" i="1"/>
  <c r="I1620" i="1"/>
  <c r="J1620" i="1"/>
  <c r="K1620" i="1"/>
  <c r="M1620" i="1"/>
  <c r="A1621" i="1"/>
  <c r="G1621" i="1"/>
  <c r="H1621" i="1"/>
  <c r="I1621" i="1"/>
  <c r="J1621" i="1"/>
  <c r="M1621" i="1"/>
  <c r="A2597" i="1"/>
  <c r="G2597" i="1"/>
  <c r="H2597" i="1"/>
  <c r="I2597" i="1"/>
  <c r="J2597" i="1"/>
  <c r="A4572" i="1"/>
  <c r="G4572" i="1"/>
  <c r="H4572" i="1"/>
  <c r="I4572" i="1"/>
  <c r="J4572" i="1"/>
  <c r="K4572" i="1"/>
  <c r="M4572" i="1"/>
  <c r="A1622" i="1"/>
  <c r="G1622" i="1"/>
  <c r="H1622" i="1"/>
  <c r="I1622" i="1"/>
  <c r="J1622" i="1"/>
  <c r="M1622" i="1"/>
  <c r="A1623" i="1"/>
  <c r="G1623" i="1"/>
  <c r="H1623" i="1"/>
  <c r="I1623" i="1"/>
  <c r="J1623" i="1"/>
  <c r="K1623" i="1"/>
  <c r="M1623" i="1"/>
  <c r="A1624" i="1"/>
  <c r="G1624" i="1"/>
  <c r="H1624" i="1"/>
  <c r="I1624" i="1"/>
  <c r="J1624" i="1"/>
  <c r="K1624" i="1"/>
  <c r="M1624" i="1"/>
  <c r="A1625" i="1"/>
  <c r="G1625" i="1"/>
  <c r="H1625" i="1"/>
  <c r="I1625" i="1"/>
  <c r="J1625" i="1"/>
  <c r="K1625" i="1"/>
  <c r="M1625" i="1"/>
  <c r="A2598" i="1"/>
  <c r="G2598" i="1"/>
  <c r="H2598" i="1"/>
  <c r="I2598" i="1"/>
  <c r="J2598" i="1"/>
  <c r="K2598" i="1"/>
  <c r="M2598" i="1"/>
  <c r="A1626" i="1"/>
  <c r="G1626" i="1"/>
  <c r="H1626" i="1"/>
  <c r="I1626" i="1"/>
  <c r="J1626" i="1"/>
  <c r="K1626" i="1"/>
  <c r="M1626" i="1"/>
  <c r="A1627" i="1"/>
  <c r="G1627" i="1"/>
  <c r="H1627" i="1"/>
  <c r="I1627" i="1"/>
  <c r="J1627" i="1"/>
  <c r="L1627" i="1"/>
  <c r="M1627" i="1"/>
  <c r="A2599" i="1"/>
  <c r="G2599" i="1"/>
  <c r="H2599" i="1"/>
  <c r="I2599" i="1"/>
  <c r="J2599" i="1"/>
  <c r="K2599" i="1"/>
  <c r="M2599" i="1"/>
  <c r="A3993" i="1"/>
  <c r="G3993" i="1"/>
  <c r="H3993" i="1"/>
  <c r="I3993" i="1"/>
  <c r="J3993" i="1"/>
  <c r="K3993" i="1"/>
  <c r="M3993" i="1"/>
  <c r="A2600" i="1"/>
  <c r="G2600" i="1"/>
  <c r="H2600" i="1"/>
  <c r="I2600" i="1"/>
  <c r="J2600" i="1"/>
  <c r="A1628" i="1"/>
  <c r="G1628" i="1"/>
  <c r="H1628" i="1"/>
  <c r="I1628" i="1"/>
  <c r="J1628" i="1"/>
  <c r="K1628" i="1"/>
  <c r="M1628" i="1"/>
  <c r="A2601" i="1"/>
  <c r="G2601" i="1"/>
  <c r="H2601" i="1"/>
  <c r="I2601" i="1"/>
  <c r="J2601" i="1"/>
  <c r="K2601" i="1"/>
  <c r="M2601" i="1"/>
  <c r="A1629" i="1"/>
  <c r="G1629" i="1"/>
  <c r="H1629" i="1"/>
  <c r="I1629" i="1"/>
  <c r="J1629" i="1"/>
  <c r="K1629" i="1"/>
  <c r="M1629" i="1"/>
  <c r="A4767" i="1"/>
  <c r="G4767" i="1"/>
  <c r="H4767" i="1"/>
  <c r="I4767" i="1"/>
  <c r="J4767" i="1"/>
  <c r="M4767" i="1"/>
  <c r="A152" i="1"/>
  <c r="G152" i="1"/>
  <c r="H152" i="1"/>
  <c r="I152" i="1"/>
  <c r="J152" i="1"/>
  <c r="K152" i="1"/>
  <c r="M152" i="1"/>
  <c r="A4175" i="1"/>
  <c r="G4175" i="1"/>
  <c r="H4175" i="1"/>
  <c r="I4175" i="1"/>
  <c r="J4175" i="1"/>
  <c r="K4175" i="1"/>
  <c r="M4175" i="1"/>
  <c r="A1630" i="1"/>
  <c r="G1630" i="1"/>
  <c r="H1630" i="1"/>
  <c r="I1630" i="1"/>
  <c r="J1630" i="1"/>
  <c r="K1630" i="1"/>
  <c r="M1630" i="1"/>
  <c r="A153" i="1"/>
  <c r="G153" i="1"/>
  <c r="H153" i="1"/>
  <c r="I153" i="1"/>
  <c r="J153" i="1"/>
  <c r="K153" i="1"/>
  <c r="M153" i="1"/>
  <c r="A154" i="1"/>
  <c r="G154" i="1"/>
  <c r="H154" i="1"/>
  <c r="I154" i="1"/>
  <c r="J154" i="1"/>
  <c r="K154" i="1"/>
  <c r="M154" i="1"/>
  <c r="A3994" i="1"/>
  <c r="G3994" i="1"/>
  <c r="H3994" i="1"/>
  <c r="I3994" i="1"/>
  <c r="J3994" i="1"/>
  <c r="K3994" i="1"/>
  <c r="M3994" i="1"/>
  <c r="A3995" i="1"/>
  <c r="G3995" i="1"/>
  <c r="H3995" i="1"/>
  <c r="I3995" i="1"/>
  <c r="J3995" i="1"/>
  <c r="A2602" i="1"/>
  <c r="G2602" i="1"/>
  <c r="H2602" i="1"/>
  <c r="I2602" i="1"/>
  <c r="J2602" i="1"/>
  <c r="A3996" i="1"/>
  <c r="G3996" i="1"/>
  <c r="H3996" i="1"/>
  <c r="I3996" i="1"/>
  <c r="J3996" i="1"/>
  <c r="K3996" i="1"/>
  <c r="M3996" i="1"/>
  <c r="A1631" i="1"/>
  <c r="G1631" i="1"/>
  <c r="H1631" i="1"/>
  <c r="I1631" i="1"/>
  <c r="J1631" i="1"/>
  <c r="K1631" i="1"/>
  <c r="M1631" i="1"/>
  <c r="A3997" i="1"/>
  <c r="G3997" i="1"/>
  <c r="H3997" i="1"/>
  <c r="I3997" i="1"/>
  <c r="J3997" i="1"/>
  <c r="K3997" i="1"/>
  <c r="M3997" i="1"/>
  <c r="A2603" i="1"/>
  <c r="G2603" i="1"/>
  <c r="H2603" i="1"/>
  <c r="I2603" i="1"/>
  <c r="J2603" i="1"/>
  <c r="K2603" i="1"/>
  <c r="M2603" i="1"/>
  <c r="A3998" i="1"/>
  <c r="G3998" i="1"/>
  <c r="H3998" i="1"/>
  <c r="I3998" i="1"/>
  <c r="J3998" i="1"/>
  <c r="K3998" i="1"/>
  <c r="M3998" i="1"/>
  <c r="A3999" i="1"/>
  <c r="G3999" i="1"/>
  <c r="H3999" i="1"/>
  <c r="I3999" i="1"/>
  <c r="J3999" i="1"/>
  <c r="K3999" i="1"/>
  <c r="M3999" i="1"/>
  <c r="A4000" i="1"/>
  <c r="G4000" i="1"/>
  <c r="H4000" i="1"/>
  <c r="I4000" i="1"/>
  <c r="J4000" i="1"/>
  <c r="A2604" i="1"/>
  <c r="G2604" i="1"/>
  <c r="H2604" i="1"/>
  <c r="I2604" i="1"/>
  <c r="J2604" i="1"/>
  <c r="K2604" i="1"/>
  <c r="M2604" i="1"/>
  <c r="A4001" i="1"/>
  <c r="G4001" i="1"/>
  <c r="H4001" i="1"/>
  <c r="I4001" i="1"/>
  <c r="J4001" i="1"/>
  <c r="A1632" i="1"/>
  <c r="G1632" i="1"/>
  <c r="H1632" i="1"/>
  <c r="I1632" i="1"/>
  <c r="J1632" i="1"/>
  <c r="M1632" i="1"/>
  <c r="A1633" i="1"/>
  <c r="G1633" i="1"/>
  <c r="H1633" i="1"/>
  <c r="I1633" i="1"/>
  <c r="J1633" i="1"/>
  <c r="K1633" i="1"/>
  <c r="M1633" i="1"/>
  <c r="A1634" i="1"/>
  <c r="G1634" i="1"/>
  <c r="H1634" i="1"/>
  <c r="I1634" i="1"/>
  <c r="J1634" i="1"/>
  <c r="K1634" i="1"/>
  <c r="M1634" i="1"/>
  <c r="A2820" i="1"/>
  <c r="G2820" i="1"/>
  <c r="H2820" i="1"/>
  <c r="I2820" i="1"/>
  <c r="J2820" i="1"/>
  <c r="K2820" i="1"/>
  <c r="M2820" i="1"/>
  <c r="A4002" i="1"/>
  <c r="G4002" i="1"/>
  <c r="H4002" i="1"/>
  <c r="I4002" i="1"/>
  <c r="J4002" i="1"/>
  <c r="K4002" i="1"/>
  <c r="M4002" i="1"/>
  <c r="A4624" i="1"/>
  <c r="G4624" i="1"/>
  <c r="H4624" i="1"/>
  <c r="I4624" i="1"/>
  <c r="J4624" i="1"/>
  <c r="A1635" i="1"/>
  <c r="G1635" i="1"/>
  <c r="H1635" i="1"/>
  <c r="I1635" i="1"/>
  <c r="J1635" i="1"/>
  <c r="K1635" i="1"/>
  <c r="M1635" i="1"/>
  <c r="A4003" i="1"/>
  <c r="G4003" i="1"/>
  <c r="H4003" i="1"/>
  <c r="I4003" i="1"/>
  <c r="J4003" i="1"/>
  <c r="K4003" i="1"/>
  <c r="M4003" i="1"/>
  <c r="A4004" i="1"/>
  <c r="G4004" i="1"/>
  <c r="H4004" i="1"/>
  <c r="I4004" i="1"/>
  <c r="J4004" i="1"/>
  <c r="A2605" i="1"/>
  <c r="G2605" i="1"/>
  <c r="H2605" i="1"/>
  <c r="I2605" i="1"/>
  <c r="J2605" i="1"/>
  <c r="K2605" i="1"/>
  <c r="M2605" i="1"/>
  <c r="A2606" i="1"/>
  <c r="G2606" i="1"/>
  <c r="H2606" i="1"/>
  <c r="I2606" i="1"/>
  <c r="J2606" i="1"/>
  <c r="K2606" i="1"/>
  <c r="M2606" i="1"/>
  <c r="A1636" i="1"/>
  <c r="G1636" i="1"/>
  <c r="H1636" i="1"/>
  <c r="I1636" i="1"/>
  <c r="J1636" i="1"/>
  <c r="K1636" i="1"/>
  <c r="M1636" i="1"/>
  <c r="A4005" i="1"/>
  <c r="G4005" i="1"/>
  <c r="H4005" i="1"/>
  <c r="I4005" i="1"/>
  <c r="J4005" i="1"/>
  <c r="K4005" i="1"/>
  <c r="M4005" i="1"/>
  <c r="A1637" i="1"/>
  <c r="G1637" i="1"/>
  <c r="H1637" i="1"/>
  <c r="I1637" i="1"/>
  <c r="J1637" i="1"/>
  <c r="K1637" i="1"/>
  <c r="M1637" i="1"/>
  <c r="A4573" i="1"/>
  <c r="G4573" i="1"/>
  <c r="H4573" i="1"/>
  <c r="I4573" i="1"/>
  <c r="J4573" i="1"/>
  <c r="K4573" i="1"/>
  <c r="M4573" i="1"/>
  <c r="A4006" i="1"/>
  <c r="G4006" i="1"/>
  <c r="H4006" i="1"/>
  <c r="I4006" i="1"/>
  <c r="J4006" i="1"/>
  <c r="A1638" i="1"/>
  <c r="G1638" i="1"/>
  <c r="H1638" i="1"/>
  <c r="I1638" i="1"/>
  <c r="J1638" i="1"/>
  <c r="M1638" i="1"/>
  <c r="A4007" i="1"/>
  <c r="G4007" i="1"/>
  <c r="H4007" i="1"/>
  <c r="I4007" i="1"/>
  <c r="J4007" i="1"/>
  <c r="K4007" i="1"/>
  <c r="M4007" i="1"/>
  <c r="A1639" i="1"/>
  <c r="G1639" i="1"/>
  <c r="H1639" i="1"/>
  <c r="I1639" i="1"/>
  <c r="J1639" i="1"/>
  <c r="K1639" i="1"/>
  <c r="M1639" i="1"/>
  <c r="A1640" i="1"/>
  <c r="G1640" i="1"/>
  <c r="H1640" i="1"/>
  <c r="I1640" i="1"/>
  <c r="J1640" i="1"/>
  <c r="K1640" i="1"/>
  <c r="M1640" i="1"/>
  <c r="A4574" i="1"/>
  <c r="G4574" i="1"/>
  <c r="H4574" i="1"/>
  <c r="I4574" i="1"/>
  <c r="J4574" i="1"/>
  <c r="K4574" i="1"/>
  <c r="M4574" i="1"/>
  <c r="A2607" i="1"/>
  <c r="G2607" i="1"/>
  <c r="H2607" i="1"/>
  <c r="I2607" i="1"/>
  <c r="J2607" i="1"/>
  <c r="A1641" i="1"/>
  <c r="G1641" i="1"/>
  <c r="H1641" i="1"/>
  <c r="I1641" i="1"/>
  <c r="J1641" i="1"/>
  <c r="K1641" i="1"/>
  <c r="M1641" i="1"/>
  <c r="A4008" i="1"/>
  <c r="G4008" i="1"/>
  <c r="H4008" i="1"/>
  <c r="I4008" i="1"/>
  <c r="J4008" i="1"/>
  <c r="A1642" i="1"/>
  <c r="G1642" i="1"/>
  <c r="H1642" i="1"/>
  <c r="I1642" i="1"/>
  <c r="J1642" i="1"/>
  <c r="K1642" i="1"/>
  <c r="M1642" i="1"/>
  <c r="A1643" i="1"/>
  <c r="G1643" i="1"/>
  <c r="H1643" i="1"/>
  <c r="I1643" i="1"/>
  <c r="J1643" i="1"/>
  <c r="K1643" i="1"/>
  <c r="L1643" i="1"/>
  <c r="M1643" i="1"/>
  <c r="A1644" i="1"/>
  <c r="G1644" i="1"/>
  <c r="H1644" i="1"/>
  <c r="I1644" i="1"/>
  <c r="J1644" i="1"/>
  <c r="K1644" i="1"/>
  <c r="M1644" i="1"/>
  <c r="A1645" i="1"/>
  <c r="G1645" i="1"/>
  <c r="H1645" i="1"/>
  <c r="I1645" i="1"/>
  <c r="J1645" i="1"/>
  <c r="K1645" i="1"/>
  <c r="M1645" i="1"/>
  <c r="A2608" i="1"/>
  <c r="G2608" i="1"/>
  <c r="H2608" i="1"/>
  <c r="I2608" i="1"/>
  <c r="J2608" i="1"/>
  <c r="K2608" i="1"/>
  <c r="M2608" i="1"/>
  <c r="A4009" i="1"/>
  <c r="G4009" i="1"/>
  <c r="H4009" i="1"/>
  <c r="I4009" i="1"/>
  <c r="J4009" i="1"/>
  <c r="A1646" i="1"/>
  <c r="G1646" i="1"/>
  <c r="H1646" i="1"/>
  <c r="I1646" i="1"/>
  <c r="J1646" i="1"/>
  <c r="K1646" i="1"/>
  <c r="M1646" i="1"/>
  <c r="A1647" i="1"/>
  <c r="G1647" i="1"/>
  <c r="H1647" i="1"/>
  <c r="I1647" i="1"/>
  <c r="J1647" i="1"/>
  <c r="K1647" i="1"/>
  <c r="L1647" i="1"/>
  <c r="M1647" i="1"/>
  <c r="A155" i="1"/>
  <c r="G155" i="1"/>
  <c r="H155" i="1"/>
  <c r="I155" i="1"/>
  <c r="J155" i="1"/>
  <c r="A2609" i="1"/>
  <c r="G2609" i="1"/>
  <c r="H2609" i="1"/>
  <c r="I2609" i="1"/>
  <c r="J2609" i="1"/>
  <c r="K2609" i="1"/>
  <c r="L2609" i="1"/>
  <c r="M2609" i="1"/>
  <c r="A4768" i="1"/>
  <c r="G4768" i="1"/>
  <c r="H4768" i="1"/>
  <c r="I4768" i="1"/>
  <c r="J4768" i="1"/>
  <c r="M4768" i="1"/>
  <c r="A1648" i="1"/>
  <c r="G1648" i="1"/>
  <c r="H1648" i="1"/>
  <c r="I1648" i="1"/>
  <c r="J1648" i="1"/>
  <c r="M1648" i="1"/>
  <c r="A1649" i="1"/>
  <c r="G1649" i="1"/>
  <c r="H1649" i="1"/>
  <c r="I1649" i="1"/>
  <c r="J1649" i="1"/>
  <c r="K1649" i="1"/>
  <c r="M1649" i="1"/>
  <c r="A2821" i="1"/>
  <c r="G2821" i="1"/>
  <c r="H2821" i="1"/>
  <c r="I2821" i="1"/>
  <c r="J2821" i="1"/>
  <c r="K2821" i="1"/>
  <c r="M2821" i="1"/>
  <c r="A4010" i="1"/>
  <c r="G4010" i="1"/>
  <c r="H4010" i="1"/>
  <c r="I4010" i="1"/>
  <c r="J4010" i="1"/>
  <c r="K4010" i="1"/>
  <c r="M4010" i="1"/>
  <c r="A4011" i="1"/>
  <c r="G4011" i="1"/>
  <c r="H4011" i="1"/>
  <c r="I4011" i="1"/>
  <c r="J4011" i="1"/>
  <c r="K4011" i="1"/>
  <c r="M4011" i="1"/>
  <c r="A1650" i="1"/>
  <c r="G1650" i="1"/>
  <c r="H1650" i="1"/>
  <c r="I1650" i="1"/>
  <c r="J1650" i="1"/>
  <c r="L1650" i="1"/>
  <c r="M1650" i="1"/>
  <c r="A2610" i="1"/>
  <c r="G2610" i="1"/>
  <c r="H2610" i="1"/>
  <c r="I2610" i="1"/>
  <c r="J2610" i="1"/>
  <c r="K2610" i="1"/>
  <c r="M2610" i="1"/>
  <c r="A4012" i="1"/>
  <c r="G4012" i="1"/>
  <c r="H4012" i="1"/>
  <c r="I4012" i="1"/>
  <c r="J4012" i="1"/>
  <c r="K4012" i="1"/>
  <c r="M4012" i="1"/>
  <c r="A1651" i="1"/>
  <c r="G1651" i="1"/>
  <c r="H1651" i="1"/>
  <c r="I1651" i="1"/>
  <c r="J1651" i="1"/>
  <c r="K1651" i="1"/>
  <c r="M1651" i="1"/>
  <c r="A1652" i="1"/>
  <c r="G1652" i="1"/>
  <c r="H1652" i="1"/>
  <c r="I1652" i="1"/>
  <c r="J1652" i="1"/>
  <c r="K1652" i="1"/>
  <c r="M1652" i="1"/>
  <c r="A4575" i="1"/>
  <c r="G4575" i="1"/>
  <c r="H4575" i="1"/>
  <c r="I4575" i="1"/>
  <c r="J4575" i="1"/>
  <c r="K4575" i="1"/>
  <c r="M4575" i="1"/>
  <c r="A1653" i="1"/>
  <c r="G1653" i="1"/>
  <c r="H1653" i="1"/>
  <c r="I1653" i="1"/>
  <c r="J1653" i="1"/>
  <c r="L1653" i="1"/>
  <c r="M1653" i="1"/>
  <c r="A2611" i="1"/>
  <c r="G2611" i="1"/>
  <c r="H2611" i="1"/>
  <c r="I2611" i="1"/>
  <c r="J2611" i="1"/>
  <c r="K2611" i="1"/>
  <c r="M2611" i="1"/>
  <c r="A4283" i="1"/>
  <c r="G4283" i="1"/>
  <c r="H4283" i="1"/>
  <c r="I4283" i="1"/>
  <c r="J4283" i="1"/>
  <c r="A1654" i="1"/>
  <c r="G1654" i="1"/>
  <c r="H1654" i="1"/>
  <c r="I1654" i="1"/>
  <c r="J1654" i="1"/>
  <c r="K1654" i="1"/>
  <c r="M1654" i="1"/>
  <c r="A2822" i="1"/>
  <c r="G2822" i="1"/>
  <c r="H2822" i="1"/>
  <c r="I2822" i="1"/>
  <c r="J2822" i="1"/>
  <c r="K2822" i="1"/>
  <c r="M2822" i="1"/>
  <c r="A4576" i="1"/>
  <c r="G4576" i="1"/>
  <c r="H4576" i="1"/>
  <c r="I4576" i="1"/>
  <c r="J4576" i="1"/>
  <c r="K4576" i="1"/>
  <c r="M4576" i="1"/>
  <c r="A1655" i="1"/>
  <c r="G1655" i="1"/>
  <c r="H1655" i="1"/>
  <c r="I1655" i="1"/>
  <c r="J1655" i="1"/>
  <c r="K1655" i="1"/>
  <c r="M1655" i="1"/>
  <c r="A4013" i="1"/>
  <c r="G4013" i="1"/>
  <c r="H4013" i="1"/>
  <c r="I4013" i="1"/>
  <c r="J4013" i="1"/>
  <c r="K4013" i="1"/>
  <c r="M4013" i="1"/>
  <c r="A2612" i="1"/>
  <c r="G2612" i="1"/>
  <c r="H2612" i="1"/>
  <c r="I2612" i="1"/>
  <c r="J2612" i="1"/>
  <c r="K2612" i="1"/>
  <c r="M2612" i="1"/>
  <c r="A2613" i="1"/>
  <c r="G2613" i="1"/>
  <c r="H2613" i="1"/>
  <c r="I2613" i="1"/>
  <c r="J2613" i="1"/>
  <c r="K2613" i="1"/>
  <c r="M2613" i="1"/>
  <c r="A4014" i="1"/>
  <c r="G4014" i="1"/>
  <c r="H4014" i="1"/>
  <c r="I4014" i="1"/>
  <c r="J4014" i="1"/>
  <c r="K4014" i="1"/>
  <c r="M4014" i="1"/>
  <c r="A2614" i="1"/>
  <c r="G2614" i="1"/>
  <c r="H2614" i="1"/>
  <c r="I2614" i="1"/>
  <c r="J2614" i="1"/>
  <c r="K2614" i="1"/>
  <c r="M2614" i="1"/>
  <c r="A156" i="1"/>
  <c r="G156" i="1"/>
  <c r="H156" i="1"/>
  <c r="I156" i="1"/>
  <c r="J156" i="1"/>
  <c r="A1656" i="1"/>
  <c r="G1656" i="1"/>
  <c r="H1656" i="1"/>
  <c r="I1656" i="1"/>
  <c r="J1656" i="1"/>
  <c r="K1656" i="1"/>
  <c r="M1656" i="1"/>
  <c r="A1657" i="1"/>
  <c r="G1657" i="1"/>
  <c r="H1657" i="1"/>
  <c r="I1657" i="1"/>
  <c r="J1657" i="1"/>
  <c r="K1657" i="1"/>
  <c r="M1657" i="1"/>
  <c r="A1658" i="1"/>
  <c r="G1658" i="1"/>
  <c r="H1658" i="1"/>
  <c r="I1658" i="1"/>
  <c r="J1658" i="1"/>
  <c r="K1658" i="1"/>
  <c r="M1658" i="1"/>
  <c r="A1659" i="1"/>
  <c r="G1659" i="1"/>
  <c r="H1659" i="1"/>
  <c r="I1659" i="1"/>
  <c r="J1659" i="1"/>
  <c r="K1659" i="1"/>
  <c r="M1659" i="1"/>
  <c r="A1660" i="1"/>
  <c r="G1660" i="1"/>
  <c r="H1660" i="1"/>
  <c r="I1660" i="1"/>
  <c r="J1660" i="1"/>
  <c r="K1660" i="1"/>
  <c r="M1660" i="1"/>
  <c r="A1661" i="1"/>
  <c r="G1661" i="1"/>
  <c r="H1661" i="1"/>
  <c r="I1661" i="1"/>
  <c r="J1661" i="1"/>
  <c r="K1661" i="1"/>
  <c r="M1661" i="1"/>
  <c r="A4015" i="1"/>
  <c r="G4015" i="1"/>
  <c r="H4015" i="1"/>
  <c r="I4015" i="1"/>
  <c r="J4015" i="1"/>
  <c r="K4015" i="1"/>
  <c r="M4015" i="1"/>
  <c r="A4284" i="1"/>
  <c r="G4284" i="1"/>
  <c r="H4284" i="1"/>
  <c r="I4284" i="1"/>
  <c r="J4284" i="1"/>
  <c r="K4284" i="1"/>
  <c r="M4284" i="1"/>
  <c r="A2615" i="1"/>
  <c r="G2615" i="1"/>
  <c r="H2615" i="1"/>
  <c r="I2615" i="1"/>
  <c r="J2615" i="1"/>
  <c r="K2615" i="1"/>
  <c r="M2615" i="1"/>
  <c r="A2616" i="1"/>
  <c r="G2616" i="1"/>
  <c r="H2616" i="1"/>
  <c r="I2616" i="1"/>
  <c r="J2616" i="1"/>
  <c r="A1662" i="1"/>
  <c r="G1662" i="1"/>
  <c r="H1662" i="1"/>
  <c r="I1662" i="1"/>
  <c r="J1662" i="1"/>
  <c r="K1662" i="1"/>
  <c r="M1662" i="1"/>
  <c r="A4016" i="1"/>
  <c r="G4016" i="1"/>
  <c r="H4016" i="1"/>
  <c r="I4016" i="1"/>
  <c r="J4016" i="1"/>
  <c r="A157" i="1"/>
  <c r="G157" i="1"/>
  <c r="H157" i="1"/>
  <c r="I157" i="1"/>
  <c r="J157" i="1"/>
  <c r="K157" i="1"/>
  <c r="M157" i="1"/>
  <c r="A4017" i="1"/>
  <c r="G4017" i="1"/>
  <c r="H4017" i="1"/>
  <c r="I4017" i="1"/>
  <c r="J4017" i="1"/>
  <c r="A2617" i="1"/>
  <c r="G2617" i="1"/>
  <c r="H2617" i="1"/>
  <c r="I2617" i="1"/>
  <c r="J2617" i="1"/>
  <c r="K2617" i="1"/>
  <c r="M2617" i="1"/>
  <c r="A2618" i="1"/>
  <c r="G2618" i="1"/>
  <c r="H2618" i="1"/>
  <c r="I2618" i="1"/>
  <c r="J2618" i="1"/>
  <c r="K2618" i="1"/>
  <c r="M2618" i="1"/>
  <c r="A1663" i="1"/>
  <c r="G1663" i="1"/>
  <c r="H1663" i="1"/>
  <c r="I1663" i="1"/>
  <c r="J1663" i="1"/>
  <c r="K1663" i="1"/>
  <c r="M1663" i="1"/>
  <c r="A4338" i="1"/>
  <c r="G4338" i="1"/>
  <c r="H4338" i="1"/>
  <c r="I4338" i="1"/>
  <c r="J4338" i="1"/>
  <c r="A4769" i="1"/>
  <c r="G4769" i="1"/>
  <c r="H4769" i="1"/>
  <c r="I4769" i="1"/>
  <c r="J4769" i="1"/>
  <c r="M4769" i="1"/>
  <c r="A1664" i="1"/>
  <c r="G1664" i="1"/>
  <c r="H1664" i="1"/>
  <c r="I1664" i="1"/>
  <c r="J1664" i="1"/>
  <c r="M1664" i="1"/>
  <c r="A1665" i="1"/>
  <c r="G1665" i="1"/>
  <c r="H1665" i="1"/>
  <c r="I1665" i="1"/>
  <c r="J1665" i="1"/>
  <c r="K1665" i="1"/>
  <c r="M1665" i="1"/>
  <c r="A1666" i="1"/>
  <c r="G1666" i="1"/>
  <c r="H1666" i="1"/>
  <c r="I1666" i="1"/>
  <c r="J1666" i="1"/>
  <c r="K1666" i="1"/>
  <c r="M1666" i="1"/>
  <c r="A4018" i="1"/>
  <c r="G4018" i="1"/>
  <c r="H4018" i="1"/>
  <c r="I4018" i="1"/>
  <c r="J4018" i="1"/>
  <c r="K4018" i="1"/>
  <c r="M4018" i="1"/>
  <c r="A1667" i="1"/>
  <c r="G1667" i="1"/>
  <c r="H1667" i="1"/>
  <c r="I1667" i="1"/>
  <c r="J1667" i="1"/>
  <c r="K1667" i="1"/>
  <c r="L1667" i="1"/>
  <c r="M1667" i="1"/>
  <c r="A4019" i="1"/>
  <c r="G4019" i="1"/>
  <c r="H4019" i="1"/>
  <c r="I4019" i="1"/>
  <c r="J4019" i="1"/>
  <c r="K4019" i="1"/>
  <c r="M4019" i="1"/>
  <c r="A1668" i="1"/>
  <c r="G1668" i="1"/>
  <c r="H1668" i="1"/>
  <c r="I1668" i="1"/>
  <c r="J1668" i="1"/>
  <c r="K1668" i="1"/>
  <c r="M1668" i="1"/>
  <c r="A4020" i="1"/>
  <c r="G4020" i="1"/>
  <c r="H4020" i="1"/>
  <c r="I4020" i="1"/>
  <c r="J4020" i="1"/>
  <c r="A4021" i="1"/>
  <c r="G4021" i="1"/>
  <c r="H4021" i="1"/>
  <c r="I4021" i="1"/>
  <c r="J4021" i="1"/>
  <c r="K4021" i="1"/>
  <c r="M4021" i="1"/>
  <c r="A1669" i="1"/>
  <c r="G1669" i="1"/>
  <c r="H1669" i="1"/>
  <c r="I1669" i="1"/>
  <c r="J1669" i="1"/>
  <c r="K1669" i="1"/>
  <c r="M1669" i="1"/>
  <c r="A2619" i="1"/>
  <c r="G2619" i="1"/>
  <c r="H2619" i="1"/>
  <c r="I2619" i="1"/>
  <c r="J2619" i="1"/>
  <c r="K2619" i="1"/>
  <c r="M2619" i="1"/>
  <c r="A2620" i="1"/>
  <c r="G2620" i="1"/>
  <c r="H2620" i="1"/>
  <c r="I2620" i="1"/>
  <c r="J2620" i="1"/>
  <c r="A1670" i="1"/>
  <c r="G1670" i="1"/>
  <c r="H1670" i="1"/>
  <c r="I1670" i="1"/>
  <c r="J1670" i="1"/>
  <c r="K1670" i="1"/>
  <c r="M1670" i="1"/>
  <c r="A4022" i="1"/>
  <c r="G4022" i="1"/>
  <c r="H4022" i="1"/>
  <c r="I4022" i="1"/>
  <c r="J4022" i="1"/>
  <c r="A2621" i="1"/>
  <c r="G2621" i="1"/>
  <c r="H2621" i="1"/>
  <c r="I2621" i="1"/>
  <c r="J2621" i="1"/>
  <c r="K2621" i="1"/>
  <c r="M2621" i="1"/>
  <c r="A2899" i="1"/>
  <c r="G2899" i="1"/>
  <c r="H2899" i="1"/>
  <c r="I2899" i="1"/>
  <c r="J2899" i="1"/>
  <c r="K2899" i="1"/>
  <c r="M2899" i="1"/>
  <c r="A2622" i="1"/>
  <c r="G2622" i="1"/>
  <c r="H2622" i="1"/>
  <c r="I2622" i="1"/>
  <c r="J2622" i="1"/>
  <c r="K2622" i="1"/>
  <c r="M2622" i="1"/>
  <c r="A2623" i="1"/>
  <c r="G2623" i="1"/>
  <c r="H2623" i="1"/>
  <c r="I2623" i="1"/>
  <c r="J2623" i="1"/>
  <c r="K2623" i="1"/>
  <c r="M2623" i="1"/>
  <c r="A1671" i="1"/>
  <c r="G1671" i="1"/>
  <c r="H1671" i="1"/>
  <c r="I1671" i="1"/>
  <c r="J1671" i="1"/>
  <c r="M1671" i="1"/>
  <c r="A1672" i="1"/>
  <c r="G1672" i="1"/>
  <c r="H1672" i="1"/>
  <c r="I1672" i="1"/>
  <c r="J1672" i="1"/>
  <c r="M1672" i="1"/>
  <c r="A1673" i="1"/>
  <c r="G1673" i="1"/>
  <c r="H1673" i="1"/>
  <c r="I1673" i="1"/>
  <c r="J1673" i="1"/>
  <c r="K1673" i="1"/>
  <c r="M1673" i="1"/>
  <c r="A4023" i="1"/>
  <c r="G4023" i="1"/>
  <c r="H4023" i="1"/>
  <c r="I4023" i="1"/>
  <c r="J4023" i="1"/>
  <c r="A2624" i="1"/>
  <c r="G2624" i="1"/>
  <c r="H2624" i="1"/>
  <c r="I2624" i="1"/>
  <c r="J2624" i="1"/>
  <c r="K2624" i="1"/>
  <c r="M2624" i="1"/>
  <c r="A1674" i="1"/>
  <c r="G1674" i="1"/>
  <c r="H1674" i="1"/>
  <c r="I1674" i="1"/>
  <c r="J1674" i="1"/>
  <c r="K1674" i="1"/>
  <c r="M1674" i="1"/>
  <c r="A4024" i="1"/>
  <c r="G4024" i="1"/>
  <c r="H4024" i="1"/>
  <c r="I4024" i="1"/>
  <c r="J4024" i="1"/>
  <c r="K4024" i="1"/>
  <c r="M4024" i="1"/>
  <c r="A1675" i="1"/>
  <c r="G1675" i="1"/>
  <c r="H1675" i="1"/>
  <c r="I1675" i="1"/>
  <c r="J1675" i="1"/>
  <c r="K1675" i="1"/>
  <c r="M1675" i="1"/>
  <c r="A4815" i="1"/>
  <c r="G4815" i="1"/>
  <c r="H4815" i="1"/>
  <c r="I4815" i="1"/>
  <c r="J4815" i="1"/>
  <c r="K4815" i="1"/>
  <c r="M4815" i="1"/>
  <c r="A1676" i="1"/>
  <c r="G1676" i="1"/>
  <c r="H1676" i="1"/>
  <c r="I1676" i="1"/>
  <c r="J1676" i="1"/>
  <c r="M1676" i="1"/>
  <c r="A1677" i="1"/>
  <c r="G1677" i="1"/>
  <c r="H1677" i="1"/>
  <c r="I1677" i="1"/>
  <c r="J1677" i="1"/>
  <c r="K1677" i="1"/>
  <c r="M1677" i="1"/>
  <c r="A2625" i="1"/>
  <c r="G2625" i="1"/>
  <c r="H2625" i="1"/>
  <c r="I2625" i="1"/>
  <c r="J2625" i="1"/>
  <c r="K2625" i="1"/>
  <c r="M2625" i="1"/>
  <c r="A2626" i="1"/>
  <c r="G2626" i="1"/>
  <c r="H2626" i="1"/>
  <c r="I2626" i="1"/>
  <c r="J2626" i="1"/>
  <c r="K2626" i="1"/>
  <c r="M2626" i="1"/>
  <c r="A1678" i="1"/>
  <c r="G1678" i="1"/>
  <c r="H1678" i="1"/>
  <c r="I1678" i="1"/>
  <c r="J1678" i="1"/>
  <c r="K1678" i="1"/>
  <c r="M1678" i="1"/>
  <c r="A4770" i="1"/>
  <c r="G4770" i="1"/>
  <c r="H4770" i="1"/>
  <c r="I4770" i="1"/>
  <c r="J4770" i="1"/>
  <c r="M4770" i="1"/>
  <c r="A2627" i="1"/>
  <c r="G2627" i="1"/>
  <c r="H2627" i="1"/>
  <c r="I2627" i="1"/>
  <c r="J2627" i="1"/>
  <c r="K2627" i="1"/>
  <c r="M2627" i="1"/>
  <c r="A4025" i="1"/>
  <c r="G4025" i="1"/>
  <c r="H4025" i="1"/>
  <c r="I4025" i="1"/>
  <c r="J4025" i="1"/>
  <c r="A158" i="1"/>
  <c r="G158" i="1"/>
  <c r="H158" i="1"/>
  <c r="I158" i="1"/>
  <c r="J158" i="1"/>
  <c r="K158" i="1"/>
  <c r="M158" i="1"/>
  <c r="A4026" i="1"/>
  <c r="G4026" i="1"/>
  <c r="H4026" i="1"/>
  <c r="I4026" i="1"/>
  <c r="J4026" i="1"/>
  <c r="K4026" i="1"/>
  <c r="M4026" i="1"/>
  <c r="A1679" i="1"/>
  <c r="G1679" i="1"/>
  <c r="H1679" i="1"/>
  <c r="I1679" i="1"/>
  <c r="J1679" i="1"/>
  <c r="K1679" i="1"/>
  <c r="M1679" i="1"/>
  <c r="A1680" i="1"/>
  <c r="G1680" i="1"/>
  <c r="H1680" i="1"/>
  <c r="I1680" i="1"/>
  <c r="J1680" i="1"/>
  <c r="K1680" i="1"/>
  <c r="M1680" i="1"/>
  <c r="A1681" i="1"/>
  <c r="G1681" i="1"/>
  <c r="H1681" i="1"/>
  <c r="I1681" i="1"/>
  <c r="J1681" i="1"/>
  <c r="K1681" i="1"/>
  <c r="M1681" i="1"/>
  <c r="A1682" i="1"/>
  <c r="G1682" i="1"/>
  <c r="H1682" i="1"/>
  <c r="I1682" i="1"/>
  <c r="J1682" i="1"/>
  <c r="M1682" i="1"/>
  <c r="A1683" i="1"/>
  <c r="G1683" i="1"/>
  <c r="H1683" i="1"/>
  <c r="I1683" i="1"/>
  <c r="J1683" i="1"/>
  <c r="L1683" i="1"/>
  <c r="M1683" i="1"/>
  <c r="A4027" i="1"/>
  <c r="G4027" i="1"/>
  <c r="H4027" i="1"/>
  <c r="I4027" i="1"/>
  <c r="J4027" i="1"/>
  <c r="K4027" i="1"/>
  <c r="M4027" i="1"/>
  <c r="A4028" i="1"/>
  <c r="G4028" i="1"/>
  <c r="H4028" i="1"/>
  <c r="I4028" i="1"/>
  <c r="J4028" i="1"/>
  <c r="K4028" i="1"/>
  <c r="M4028" i="1"/>
  <c r="A4029" i="1"/>
  <c r="G4029" i="1"/>
  <c r="H4029" i="1"/>
  <c r="I4029" i="1"/>
  <c r="J4029" i="1"/>
  <c r="A4030" i="1"/>
  <c r="G4030" i="1"/>
  <c r="H4030" i="1"/>
  <c r="I4030" i="1"/>
  <c r="J4030" i="1"/>
  <c r="K4030" i="1"/>
  <c r="M4030" i="1"/>
  <c r="A2628" i="1"/>
  <c r="G2628" i="1"/>
  <c r="H2628" i="1"/>
  <c r="I2628" i="1"/>
  <c r="J2628" i="1"/>
  <c r="K2628" i="1"/>
  <c r="M2628" i="1"/>
  <c r="A4771" i="1"/>
  <c r="G4771" i="1"/>
  <c r="H4771" i="1"/>
  <c r="I4771" i="1"/>
  <c r="J4771" i="1"/>
  <c r="M4771" i="1"/>
  <c r="A2629" i="1"/>
  <c r="G2629" i="1"/>
  <c r="H2629" i="1"/>
  <c r="I2629" i="1"/>
  <c r="J2629" i="1"/>
  <c r="K2629" i="1"/>
  <c r="M2629" i="1"/>
  <c r="A4031" i="1"/>
  <c r="G4031" i="1"/>
  <c r="H4031" i="1"/>
  <c r="I4031" i="1"/>
  <c r="J4031" i="1"/>
  <c r="K4031" i="1"/>
  <c r="M4031" i="1"/>
  <c r="A2630" i="1"/>
  <c r="G2630" i="1"/>
  <c r="H2630" i="1"/>
  <c r="I2630" i="1"/>
  <c r="J2630" i="1"/>
  <c r="K2630" i="1"/>
  <c r="M2630" i="1"/>
  <c r="A2631" i="1"/>
  <c r="G2631" i="1"/>
  <c r="H2631" i="1"/>
  <c r="I2631" i="1"/>
  <c r="J2631" i="1"/>
  <c r="K2631" i="1"/>
  <c r="M2631" i="1"/>
  <c r="A1684" i="1"/>
  <c r="G1684" i="1"/>
  <c r="H1684" i="1"/>
  <c r="I1684" i="1"/>
  <c r="J1684" i="1"/>
  <c r="L1684" i="1"/>
  <c r="M1684" i="1"/>
  <c r="A4032" i="1"/>
  <c r="G4032" i="1"/>
  <c r="H4032" i="1"/>
  <c r="I4032" i="1"/>
  <c r="J4032" i="1"/>
  <c r="K4032" i="1"/>
  <c r="M4032" i="1"/>
  <c r="A1685" i="1"/>
  <c r="G1685" i="1"/>
  <c r="H1685" i="1"/>
  <c r="I1685" i="1"/>
  <c r="J1685" i="1"/>
  <c r="K1685" i="1"/>
  <c r="M1685" i="1"/>
  <c r="A1686" i="1"/>
  <c r="G1686" i="1"/>
  <c r="H1686" i="1"/>
  <c r="I1686" i="1"/>
  <c r="J1686" i="1"/>
  <c r="K1686" i="1"/>
  <c r="M1686" i="1"/>
  <c r="A4577" i="1"/>
  <c r="G4577" i="1"/>
  <c r="H4577" i="1"/>
  <c r="I4577" i="1"/>
  <c r="J4577" i="1"/>
  <c r="M4577" i="1"/>
  <c r="A2823" i="1"/>
  <c r="G2823" i="1"/>
  <c r="H2823" i="1"/>
  <c r="I2823" i="1"/>
  <c r="J2823" i="1"/>
  <c r="K2823" i="1"/>
  <c r="M2823" i="1"/>
  <c r="A2632" i="1"/>
  <c r="G2632" i="1"/>
  <c r="H2632" i="1"/>
  <c r="I2632" i="1"/>
  <c r="J2632" i="1"/>
  <c r="K2632" i="1"/>
  <c r="M2632" i="1"/>
  <c r="A4033" i="1"/>
  <c r="G4033" i="1"/>
  <c r="H4033" i="1"/>
  <c r="I4033" i="1"/>
  <c r="J4033" i="1"/>
  <c r="K4033" i="1"/>
  <c r="M4033" i="1"/>
  <c r="A4034" i="1"/>
  <c r="G4034" i="1"/>
  <c r="H4034" i="1"/>
  <c r="I4034" i="1"/>
  <c r="J4034" i="1"/>
  <c r="K4034" i="1"/>
  <c r="M4034" i="1"/>
  <c r="A4035" i="1"/>
  <c r="G4035" i="1"/>
  <c r="H4035" i="1"/>
  <c r="I4035" i="1"/>
  <c r="J4035" i="1"/>
  <c r="K4035" i="1"/>
  <c r="M4035" i="1"/>
  <c r="A4036" i="1"/>
  <c r="G4036" i="1"/>
  <c r="H4036" i="1"/>
  <c r="I4036" i="1"/>
  <c r="J4036" i="1"/>
  <c r="A4285" i="1"/>
  <c r="G4285" i="1"/>
  <c r="H4285" i="1"/>
  <c r="I4285" i="1"/>
  <c r="J4285" i="1"/>
  <c r="K4285" i="1"/>
  <c r="M4285" i="1"/>
  <c r="A4286" i="1"/>
  <c r="G4286" i="1"/>
  <c r="H4286" i="1"/>
  <c r="I4286" i="1"/>
  <c r="J4286" i="1"/>
  <c r="K4286" i="1"/>
  <c r="M4286" i="1"/>
  <c r="A2633" i="1"/>
  <c r="G2633" i="1"/>
  <c r="H2633" i="1"/>
  <c r="I2633" i="1"/>
  <c r="J2633" i="1"/>
  <c r="K2633" i="1"/>
  <c r="M2633" i="1"/>
  <c r="A4037" i="1"/>
  <c r="G4037" i="1"/>
  <c r="H4037" i="1"/>
  <c r="I4037" i="1"/>
  <c r="J4037" i="1"/>
  <c r="K4037" i="1"/>
  <c r="M4037" i="1"/>
  <c r="A2824" i="1"/>
  <c r="G2824" i="1"/>
  <c r="H2824" i="1"/>
  <c r="I2824" i="1"/>
  <c r="J2824" i="1"/>
  <c r="K2824" i="1"/>
  <c r="M2824" i="1"/>
  <c r="A1687" i="1"/>
  <c r="G1687" i="1"/>
  <c r="H1687" i="1"/>
  <c r="I1687" i="1"/>
  <c r="J1687" i="1"/>
  <c r="K1687" i="1"/>
  <c r="M1687" i="1"/>
  <c r="A4038" i="1"/>
  <c r="G4038" i="1"/>
  <c r="H4038" i="1"/>
  <c r="I4038" i="1"/>
  <c r="J4038" i="1"/>
  <c r="K4038" i="1"/>
  <c r="M4038" i="1"/>
  <c r="A2634" i="1"/>
  <c r="G2634" i="1"/>
  <c r="H2634" i="1"/>
  <c r="I2634" i="1"/>
  <c r="J2634" i="1"/>
  <c r="A1688" i="1"/>
  <c r="G1688" i="1"/>
  <c r="H1688" i="1"/>
  <c r="I1688" i="1"/>
  <c r="J1688" i="1"/>
  <c r="K1688" i="1"/>
  <c r="M1688" i="1"/>
  <c r="A4625" i="1"/>
  <c r="G4625" i="1"/>
  <c r="H4625" i="1"/>
  <c r="I4625" i="1"/>
  <c r="J4625" i="1"/>
  <c r="K4625" i="1"/>
  <c r="M4625" i="1"/>
  <c r="A2635" i="1"/>
  <c r="G2635" i="1"/>
  <c r="H2635" i="1"/>
  <c r="I2635" i="1"/>
  <c r="J2635" i="1"/>
  <c r="K2635" i="1"/>
  <c r="M2635" i="1"/>
  <c r="A1689" i="1"/>
  <c r="G1689" i="1"/>
  <c r="H1689" i="1"/>
  <c r="I1689" i="1"/>
  <c r="J1689" i="1"/>
  <c r="K1689" i="1"/>
  <c r="M1689" i="1"/>
  <c r="A2636" i="1"/>
  <c r="G2636" i="1"/>
  <c r="H2636" i="1"/>
  <c r="I2636" i="1"/>
  <c r="J2636" i="1"/>
  <c r="K2636" i="1"/>
  <c r="M2636" i="1"/>
  <c r="A1690" i="1"/>
  <c r="G1690" i="1"/>
  <c r="H1690" i="1"/>
  <c r="I1690" i="1"/>
  <c r="J1690" i="1"/>
  <c r="K1690" i="1"/>
  <c r="M1690" i="1"/>
  <c r="A2637" i="1"/>
  <c r="G2637" i="1"/>
  <c r="H2637" i="1"/>
  <c r="I2637" i="1"/>
  <c r="J2637" i="1"/>
  <c r="K2637" i="1"/>
  <c r="M2637" i="1"/>
  <c r="A2638" i="1"/>
  <c r="G2638" i="1"/>
  <c r="H2638" i="1"/>
  <c r="I2638" i="1"/>
  <c r="J2638" i="1"/>
  <c r="K2638" i="1"/>
  <c r="M2638" i="1"/>
  <c r="A2639" i="1"/>
  <c r="G2639" i="1"/>
  <c r="H2639" i="1"/>
  <c r="I2639" i="1"/>
  <c r="J2639" i="1"/>
  <c r="K2639" i="1"/>
  <c r="M2639" i="1"/>
  <c r="A4039" i="1"/>
  <c r="G4039" i="1"/>
  <c r="H4039" i="1"/>
  <c r="I4039" i="1"/>
  <c r="J4039" i="1"/>
  <c r="A1691" i="1"/>
  <c r="G1691" i="1"/>
  <c r="H1691" i="1"/>
  <c r="I1691" i="1"/>
  <c r="J1691" i="1"/>
  <c r="K1691" i="1"/>
  <c r="M1691" i="1"/>
  <c r="A4626" i="1"/>
  <c r="G4626" i="1"/>
  <c r="H4626" i="1"/>
  <c r="I4626" i="1"/>
  <c r="J4626" i="1"/>
  <c r="A2640" i="1"/>
  <c r="G2640" i="1"/>
  <c r="H2640" i="1"/>
  <c r="I2640" i="1"/>
  <c r="J2640" i="1"/>
  <c r="K2640" i="1"/>
  <c r="M2640" i="1"/>
  <c r="A4287" i="1"/>
  <c r="G4287" i="1"/>
  <c r="H4287" i="1"/>
  <c r="I4287" i="1"/>
  <c r="J4287" i="1"/>
  <c r="A4040" i="1"/>
  <c r="G4040" i="1"/>
  <c r="H4040" i="1"/>
  <c r="I4040" i="1"/>
  <c r="J4040" i="1"/>
  <c r="K4040" i="1"/>
  <c r="M4040" i="1"/>
  <c r="A1692" i="1"/>
  <c r="G1692" i="1"/>
  <c r="H1692" i="1"/>
  <c r="I1692" i="1"/>
  <c r="J1692" i="1"/>
  <c r="K1692" i="1"/>
  <c r="M1692" i="1"/>
  <c r="A1693" i="1"/>
  <c r="G1693" i="1"/>
  <c r="H1693" i="1"/>
  <c r="I1693" i="1"/>
  <c r="J1693" i="1"/>
  <c r="K1693" i="1"/>
  <c r="M1693" i="1"/>
  <c r="A4041" i="1"/>
  <c r="G4041" i="1"/>
  <c r="H4041" i="1"/>
  <c r="I4041" i="1"/>
  <c r="J4041" i="1"/>
  <c r="A2641" i="1"/>
  <c r="G2641" i="1"/>
  <c r="H2641" i="1"/>
  <c r="I2641" i="1"/>
  <c r="J2641" i="1"/>
  <c r="K2641" i="1"/>
  <c r="M2641" i="1"/>
  <c r="A1694" i="1"/>
  <c r="G1694" i="1"/>
  <c r="H1694" i="1"/>
  <c r="I1694" i="1"/>
  <c r="J1694" i="1"/>
  <c r="K1694" i="1"/>
  <c r="M1694" i="1"/>
  <c r="A4042" i="1"/>
  <c r="G4042" i="1"/>
  <c r="H4042" i="1"/>
  <c r="I4042" i="1"/>
  <c r="J4042" i="1"/>
  <c r="K4042" i="1"/>
  <c r="M4042" i="1"/>
  <c r="A1695" i="1"/>
  <c r="G1695" i="1"/>
  <c r="H1695" i="1"/>
  <c r="I1695" i="1"/>
  <c r="J1695" i="1"/>
  <c r="K1695" i="1"/>
  <c r="M1695" i="1"/>
  <c r="A159" i="1"/>
  <c r="G159" i="1"/>
  <c r="H159" i="1"/>
  <c r="I159" i="1"/>
  <c r="J159" i="1"/>
  <c r="A4313" i="1"/>
  <c r="G4313" i="1"/>
  <c r="H4313" i="1"/>
  <c r="I4313" i="1"/>
  <c r="J4313" i="1"/>
  <c r="K4313" i="1"/>
  <c r="M4313" i="1"/>
  <c r="A1696" i="1"/>
  <c r="G1696" i="1"/>
  <c r="H1696" i="1"/>
  <c r="I1696" i="1"/>
  <c r="J1696" i="1"/>
  <c r="K1696" i="1"/>
  <c r="M1696" i="1"/>
  <c r="A2642" i="1"/>
  <c r="G2642" i="1"/>
  <c r="H2642" i="1"/>
  <c r="I2642" i="1"/>
  <c r="J2642" i="1"/>
  <c r="K2642" i="1"/>
  <c r="M2642" i="1"/>
  <c r="A2643" i="1"/>
  <c r="G2643" i="1"/>
  <c r="H2643" i="1"/>
  <c r="I2643" i="1"/>
  <c r="J2643" i="1"/>
  <c r="K2643" i="1"/>
  <c r="M2643" i="1"/>
  <c r="A2644" i="1"/>
  <c r="G2644" i="1"/>
  <c r="H2644" i="1"/>
  <c r="I2644" i="1"/>
  <c r="J2644" i="1"/>
  <c r="M2644" i="1"/>
  <c r="A1697" i="1"/>
  <c r="G1697" i="1"/>
  <c r="H1697" i="1"/>
  <c r="I1697" i="1"/>
  <c r="J1697" i="1"/>
  <c r="K1697" i="1"/>
  <c r="M1697" i="1"/>
  <c r="A2645" i="1"/>
  <c r="G2645" i="1"/>
  <c r="H2645" i="1"/>
  <c r="I2645" i="1"/>
  <c r="J2645" i="1"/>
  <c r="A2646" i="1"/>
  <c r="G2646" i="1"/>
  <c r="H2646" i="1"/>
  <c r="I2646" i="1"/>
  <c r="J2646" i="1"/>
  <c r="A1698" i="1"/>
  <c r="G1698" i="1"/>
  <c r="H1698" i="1"/>
  <c r="I1698" i="1"/>
  <c r="J1698" i="1"/>
  <c r="K1698" i="1"/>
  <c r="M1698" i="1"/>
  <c r="A160" i="1"/>
  <c r="G160" i="1"/>
  <c r="H160" i="1"/>
  <c r="I160" i="1"/>
  <c r="J160" i="1"/>
  <c r="K160" i="1"/>
  <c r="M160" i="1"/>
  <c r="A161" i="1"/>
  <c r="G161" i="1"/>
  <c r="H161" i="1"/>
  <c r="I161" i="1"/>
  <c r="J161" i="1"/>
  <c r="K161" i="1"/>
  <c r="M161" i="1"/>
  <c r="A1699" i="1"/>
  <c r="G1699" i="1"/>
  <c r="H1699" i="1"/>
  <c r="I1699" i="1"/>
  <c r="J1699" i="1"/>
  <c r="M1699" i="1"/>
  <c r="A2647" i="1"/>
  <c r="G2647" i="1"/>
  <c r="H2647" i="1"/>
  <c r="I2647" i="1"/>
  <c r="J2647" i="1"/>
  <c r="A1700" i="1"/>
  <c r="G1700" i="1"/>
  <c r="H1700" i="1"/>
  <c r="I1700" i="1"/>
  <c r="J1700" i="1"/>
  <c r="K1700" i="1"/>
  <c r="M1700" i="1"/>
  <c r="A1701" i="1"/>
  <c r="G1701" i="1"/>
  <c r="H1701" i="1"/>
  <c r="I1701" i="1"/>
  <c r="J1701" i="1"/>
  <c r="K1701" i="1"/>
  <c r="M1701" i="1"/>
  <c r="A2900" i="1"/>
  <c r="G2900" i="1"/>
  <c r="H2900" i="1"/>
  <c r="I2900" i="1"/>
  <c r="J2900" i="1"/>
  <c r="K2900" i="1"/>
  <c r="M2900" i="1"/>
  <c r="A1702" i="1"/>
  <c r="G1702" i="1"/>
  <c r="H1702" i="1"/>
  <c r="I1702" i="1"/>
  <c r="J1702" i="1"/>
  <c r="K1702" i="1"/>
  <c r="M1702" i="1"/>
  <c r="A1703" i="1"/>
  <c r="G1703" i="1"/>
  <c r="H1703" i="1"/>
  <c r="I1703" i="1"/>
  <c r="J1703" i="1"/>
  <c r="K1703" i="1"/>
  <c r="M1703" i="1"/>
  <c r="A4627" i="1"/>
  <c r="G4627" i="1"/>
  <c r="H4627" i="1"/>
  <c r="I4627" i="1"/>
  <c r="J4627" i="1"/>
  <c r="A162" i="1"/>
  <c r="G162" i="1"/>
  <c r="H162" i="1"/>
  <c r="I162" i="1"/>
  <c r="J162" i="1"/>
  <c r="K162" i="1"/>
  <c r="M162" i="1"/>
  <c r="A1704" i="1"/>
  <c r="G1704" i="1"/>
  <c r="H1704" i="1"/>
  <c r="I1704" i="1"/>
  <c r="J1704" i="1"/>
  <c r="K1704" i="1"/>
  <c r="M1704" i="1"/>
  <c r="A1705" i="1"/>
  <c r="G1705" i="1"/>
  <c r="H1705" i="1"/>
  <c r="I1705" i="1"/>
  <c r="J1705" i="1"/>
  <c r="K1705" i="1"/>
  <c r="M1705" i="1"/>
  <c r="A1706" i="1"/>
  <c r="G1706" i="1"/>
  <c r="H1706" i="1"/>
  <c r="I1706" i="1"/>
  <c r="J1706" i="1"/>
  <c r="M1706" i="1"/>
  <c r="A4288" i="1"/>
  <c r="G4288" i="1"/>
  <c r="H4288" i="1"/>
  <c r="I4288" i="1"/>
  <c r="J4288" i="1"/>
  <c r="A2648" i="1"/>
  <c r="G2648" i="1"/>
  <c r="H2648" i="1"/>
  <c r="I2648" i="1"/>
  <c r="J2648" i="1"/>
  <c r="K2648" i="1"/>
  <c r="M2648" i="1"/>
  <c r="A4578" i="1"/>
  <c r="G4578" i="1"/>
  <c r="H4578" i="1"/>
  <c r="I4578" i="1"/>
  <c r="J4578" i="1"/>
  <c r="K4578" i="1"/>
  <c r="M4578" i="1"/>
  <c r="A4043" i="1"/>
  <c r="G4043" i="1"/>
  <c r="H4043" i="1"/>
  <c r="I4043" i="1"/>
  <c r="J4043" i="1"/>
  <c r="A1707" i="1"/>
  <c r="G1707" i="1"/>
  <c r="H1707" i="1"/>
  <c r="I1707" i="1"/>
  <c r="J1707" i="1"/>
  <c r="K1707" i="1"/>
  <c r="M1707" i="1"/>
  <c r="A1708" i="1"/>
  <c r="G1708" i="1"/>
  <c r="H1708" i="1"/>
  <c r="I1708" i="1"/>
  <c r="J1708" i="1"/>
  <c r="K1708" i="1"/>
  <c r="M1708" i="1"/>
  <c r="A4579" i="1"/>
  <c r="G4579" i="1"/>
  <c r="H4579" i="1"/>
  <c r="I4579" i="1"/>
  <c r="J4579" i="1"/>
  <c r="M4579" i="1"/>
  <c r="A1709" i="1"/>
  <c r="G1709" i="1"/>
  <c r="H1709" i="1"/>
  <c r="I1709" i="1"/>
  <c r="J1709" i="1"/>
  <c r="M1709" i="1"/>
  <c r="A2649" i="1"/>
  <c r="G2649" i="1"/>
  <c r="H2649" i="1"/>
  <c r="I2649" i="1"/>
  <c r="J2649" i="1"/>
  <c r="K2649" i="1"/>
  <c r="M2649" i="1"/>
  <c r="A1710" i="1"/>
  <c r="G1710" i="1"/>
  <c r="H1710" i="1"/>
  <c r="I1710" i="1"/>
  <c r="J1710" i="1"/>
  <c r="M1710" i="1"/>
  <c r="A2650" i="1"/>
  <c r="G2650" i="1"/>
  <c r="H2650" i="1"/>
  <c r="I2650" i="1"/>
  <c r="J2650" i="1"/>
  <c r="K2650" i="1"/>
  <c r="M2650" i="1"/>
  <c r="A4044" i="1"/>
  <c r="G4044" i="1"/>
  <c r="H4044" i="1"/>
  <c r="I4044" i="1"/>
  <c r="J4044" i="1"/>
  <c r="A4045" i="1"/>
  <c r="G4045" i="1"/>
  <c r="H4045" i="1"/>
  <c r="I4045" i="1"/>
  <c r="J4045" i="1"/>
  <c r="K4045" i="1"/>
  <c r="M4045" i="1"/>
  <c r="A4046" i="1"/>
  <c r="G4046" i="1"/>
  <c r="H4046" i="1"/>
  <c r="I4046" i="1"/>
  <c r="J4046" i="1"/>
  <c r="A1711" i="1"/>
  <c r="G1711" i="1"/>
  <c r="H1711" i="1"/>
  <c r="I1711" i="1"/>
  <c r="J1711" i="1"/>
  <c r="K1711" i="1"/>
  <c r="M1711" i="1"/>
  <c r="A1712" i="1"/>
  <c r="G1712" i="1"/>
  <c r="H1712" i="1"/>
  <c r="I1712" i="1"/>
  <c r="J1712" i="1"/>
  <c r="K1712" i="1"/>
  <c r="M1712" i="1"/>
  <c r="A4047" i="1"/>
  <c r="G4047" i="1"/>
  <c r="H4047" i="1"/>
  <c r="I4047" i="1"/>
  <c r="J4047" i="1"/>
  <c r="A2651" i="1"/>
  <c r="G2651" i="1"/>
  <c r="H2651" i="1"/>
  <c r="I2651" i="1"/>
  <c r="J2651" i="1"/>
  <c r="K2651" i="1"/>
  <c r="M2651" i="1"/>
  <c r="A1713" i="1"/>
  <c r="G1713" i="1"/>
  <c r="H1713" i="1"/>
  <c r="I1713" i="1"/>
  <c r="J1713" i="1"/>
  <c r="L1713" i="1"/>
  <c r="M1713" i="1"/>
  <c r="A4580" i="1"/>
  <c r="G4580" i="1"/>
  <c r="H4580" i="1"/>
  <c r="I4580" i="1"/>
  <c r="J4580" i="1"/>
  <c r="K4580" i="1"/>
  <c r="M4580" i="1"/>
  <c r="A1714" i="1"/>
  <c r="G1714" i="1"/>
  <c r="H1714" i="1"/>
  <c r="I1714" i="1"/>
  <c r="J1714" i="1"/>
  <c r="K1714" i="1"/>
  <c r="M1714" i="1"/>
  <c r="A1715" i="1"/>
  <c r="G1715" i="1"/>
  <c r="H1715" i="1"/>
  <c r="I1715" i="1"/>
  <c r="J1715" i="1"/>
  <c r="K1715" i="1"/>
  <c r="M1715" i="1"/>
  <c r="A4581" i="1"/>
  <c r="G4581" i="1"/>
  <c r="H4581" i="1"/>
  <c r="I4581" i="1"/>
  <c r="J4581" i="1"/>
  <c r="K4581" i="1"/>
  <c r="M4581" i="1"/>
  <c r="A2901" i="1"/>
  <c r="G2901" i="1"/>
  <c r="H2901" i="1"/>
  <c r="I2901" i="1"/>
  <c r="J2901" i="1"/>
  <c r="K2901" i="1"/>
  <c r="M2901" i="1"/>
  <c r="A4048" i="1"/>
  <c r="G4048" i="1"/>
  <c r="H4048" i="1"/>
  <c r="I4048" i="1"/>
  <c r="J4048" i="1"/>
  <c r="K4048" i="1"/>
  <c r="M4048" i="1"/>
  <c r="A1716" i="1"/>
  <c r="G1716" i="1"/>
  <c r="H1716" i="1"/>
  <c r="I1716" i="1"/>
  <c r="J1716" i="1"/>
  <c r="K1716" i="1"/>
  <c r="M1716" i="1"/>
  <c r="A4049" i="1"/>
  <c r="G4049" i="1"/>
  <c r="H4049" i="1"/>
  <c r="I4049" i="1"/>
  <c r="J4049" i="1"/>
  <c r="K4049" i="1"/>
  <c r="M4049" i="1"/>
  <c r="A2652" i="1"/>
  <c r="G2652" i="1"/>
  <c r="H2652" i="1"/>
  <c r="I2652" i="1"/>
  <c r="J2652" i="1"/>
  <c r="A4050" i="1"/>
  <c r="G4050" i="1"/>
  <c r="H4050" i="1"/>
  <c r="I4050" i="1"/>
  <c r="J4050" i="1"/>
  <c r="K4050" i="1"/>
  <c r="M4050" i="1"/>
  <c r="A1717" i="1"/>
  <c r="G1717" i="1"/>
  <c r="H1717" i="1"/>
  <c r="I1717" i="1"/>
  <c r="J1717" i="1"/>
  <c r="L1717" i="1"/>
  <c r="M1717" i="1"/>
  <c r="A1718" i="1"/>
  <c r="G1718" i="1"/>
  <c r="H1718" i="1"/>
  <c r="I1718" i="1"/>
  <c r="J1718" i="1"/>
  <c r="K1718" i="1"/>
  <c r="M1718" i="1"/>
  <c r="A1719" i="1"/>
  <c r="G1719" i="1"/>
  <c r="H1719" i="1"/>
  <c r="I1719" i="1"/>
  <c r="J1719" i="1"/>
  <c r="K1719" i="1"/>
  <c r="M1719" i="1"/>
  <c r="A4176" i="1"/>
  <c r="G4176" i="1"/>
  <c r="H4176" i="1"/>
  <c r="I4176" i="1"/>
  <c r="J4176" i="1"/>
  <c r="K4176" i="1"/>
  <c r="M4176" i="1"/>
  <c r="A1720" i="1"/>
  <c r="G1720" i="1"/>
  <c r="H1720" i="1"/>
  <c r="I1720" i="1"/>
  <c r="J1720" i="1"/>
  <c r="K1720" i="1"/>
  <c r="M1720" i="1"/>
  <c r="A4582" i="1"/>
  <c r="G4582" i="1"/>
  <c r="H4582" i="1"/>
  <c r="I4582" i="1"/>
  <c r="J4582" i="1"/>
  <c r="K4582" i="1"/>
  <c r="M4582" i="1"/>
  <c r="A4772" i="1"/>
  <c r="G4772" i="1"/>
  <c r="H4772" i="1"/>
  <c r="I4772" i="1"/>
  <c r="J4772" i="1"/>
  <c r="M4772" i="1"/>
  <c r="A163" i="1"/>
  <c r="G163" i="1"/>
  <c r="H163" i="1"/>
  <c r="I163" i="1"/>
  <c r="J163" i="1"/>
  <c r="K163" i="1"/>
  <c r="M163" i="1"/>
  <c r="A2653" i="1"/>
  <c r="G2653" i="1"/>
  <c r="H2653" i="1"/>
  <c r="I2653" i="1"/>
  <c r="J2653" i="1"/>
  <c r="K2653" i="1"/>
  <c r="M2653" i="1"/>
  <c r="A2654" i="1"/>
  <c r="G2654" i="1"/>
  <c r="H2654" i="1"/>
  <c r="I2654" i="1"/>
  <c r="J2654" i="1"/>
  <c r="K2654" i="1"/>
  <c r="M2654" i="1"/>
  <c r="A2655" i="1"/>
  <c r="G2655" i="1"/>
  <c r="H2655" i="1"/>
  <c r="I2655" i="1"/>
  <c r="J2655" i="1"/>
  <c r="K2655" i="1"/>
  <c r="M2655" i="1"/>
  <c r="A1721" i="1"/>
  <c r="G1721" i="1"/>
  <c r="H1721" i="1"/>
  <c r="I1721" i="1"/>
  <c r="J1721" i="1"/>
  <c r="M1721" i="1"/>
  <c r="A2656" i="1"/>
  <c r="G2656" i="1"/>
  <c r="H2656" i="1"/>
  <c r="I2656" i="1"/>
  <c r="J2656" i="1"/>
  <c r="A1722" i="1"/>
  <c r="G1722" i="1"/>
  <c r="H1722" i="1"/>
  <c r="I1722" i="1"/>
  <c r="J1722" i="1"/>
  <c r="K1722" i="1"/>
  <c r="M1722" i="1"/>
  <c r="A1723" i="1"/>
  <c r="G1723" i="1"/>
  <c r="H1723" i="1"/>
  <c r="I1723" i="1"/>
  <c r="J1723" i="1"/>
  <c r="K1723" i="1"/>
  <c r="M1723" i="1"/>
  <c r="A1724" i="1"/>
  <c r="G1724" i="1"/>
  <c r="H1724" i="1"/>
  <c r="I1724" i="1"/>
  <c r="J1724" i="1"/>
  <c r="L1724" i="1"/>
  <c r="M1724" i="1"/>
  <c r="A4051" i="1"/>
  <c r="G4051" i="1"/>
  <c r="H4051" i="1"/>
  <c r="I4051" i="1"/>
  <c r="J4051" i="1"/>
  <c r="K4051" i="1"/>
  <c r="M4051" i="1"/>
  <c r="A1725" i="1"/>
  <c r="G1725" i="1"/>
  <c r="H1725" i="1"/>
  <c r="I1725" i="1"/>
  <c r="J1725" i="1"/>
  <c r="K1725" i="1"/>
  <c r="M1725" i="1"/>
  <c r="A4773" i="1"/>
  <c r="G4773" i="1"/>
  <c r="H4773" i="1"/>
  <c r="I4773" i="1"/>
  <c r="J4773" i="1"/>
  <c r="M4773" i="1"/>
  <c r="A1726" i="1"/>
  <c r="G1726" i="1"/>
  <c r="H1726" i="1"/>
  <c r="I1726" i="1"/>
  <c r="J1726" i="1"/>
  <c r="L1726" i="1"/>
  <c r="M1726" i="1"/>
  <c r="A2657" i="1"/>
  <c r="G2657" i="1"/>
  <c r="H2657" i="1"/>
  <c r="I2657" i="1"/>
  <c r="J2657" i="1"/>
  <c r="K2657" i="1"/>
  <c r="M2657" i="1"/>
  <c r="A1727" i="1"/>
  <c r="G1727" i="1"/>
  <c r="H1727" i="1"/>
  <c r="I1727" i="1"/>
  <c r="J1727" i="1"/>
  <c r="K1727" i="1"/>
  <c r="M1727" i="1"/>
  <c r="G4052" i="1"/>
  <c r="H4052" i="1"/>
  <c r="I4052" i="1"/>
  <c r="J4052" i="1"/>
  <c r="A4583" i="1"/>
  <c r="G4583" i="1"/>
  <c r="H4583" i="1"/>
  <c r="I4583" i="1"/>
  <c r="J4583" i="1"/>
  <c r="K4583" i="1"/>
  <c r="M4583" i="1"/>
  <c r="A4053" i="1"/>
  <c r="G4053" i="1"/>
  <c r="H4053" i="1"/>
  <c r="I4053" i="1"/>
  <c r="J4053" i="1"/>
  <c r="A4054" i="1"/>
  <c r="G4054" i="1"/>
  <c r="H4054" i="1"/>
  <c r="I4054" i="1"/>
  <c r="J4054" i="1"/>
  <c r="K4054" i="1"/>
  <c r="M4054" i="1"/>
  <c r="A4055" i="1"/>
  <c r="G4055" i="1"/>
  <c r="H4055" i="1"/>
  <c r="I4055" i="1"/>
  <c r="J4055" i="1"/>
  <c r="K4055" i="1"/>
  <c r="M4055" i="1"/>
  <c r="A2658" i="1"/>
  <c r="G2658" i="1"/>
  <c r="H2658" i="1"/>
  <c r="I2658" i="1"/>
  <c r="J2658" i="1"/>
  <c r="M2658" i="1"/>
  <c r="A1728" i="1"/>
  <c r="G1728" i="1"/>
  <c r="H1728" i="1"/>
  <c r="I1728" i="1"/>
  <c r="J1728" i="1"/>
  <c r="K1728" i="1"/>
  <c r="M1728" i="1"/>
  <c r="A2825" i="1"/>
  <c r="G2825" i="1"/>
  <c r="H2825" i="1"/>
  <c r="I2825" i="1"/>
  <c r="J2825" i="1"/>
  <c r="K2825" i="1"/>
  <c r="M2825" i="1"/>
  <c r="A2659" i="1"/>
  <c r="G2659" i="1"/>
  <c r="H2659" i="1"/>
  <c r="I2659" i="1"/>
  <c r="J2659" i="1"/>
  <c r="K2659" i="1"/>
  <c r="M2659" i="1"/>
  <c r="A1729" i="1"/>
  <c r="G1729" i="1"/>
  <c r="H1729" i="1"/>
  <c r="I1729" i="1"/>
  <c r="J1729" i="1"/>
  <c r="K1729" i="1"/>
  <c r="L1729" i="1"/>
  <c r="M1729" i="1"/>
  <c r="A1730" i="1"/>
  <c r="G1730" i="1"/>
  <c r="H1730" i="1"/>
  <c r="I1730" i="1"/>
  <c r="J1730" i="1"/>
  <c r="M1730" i="1"/>
  <c r="A1731" i="1"/>
  <c r="G1731" i="1"/>
  <c r="H1731" i="1"/>
  <c r="I1731" i="1"/>
  <c r="J1731" i="1"/>
  <c r="M1731" i="1"/>
  <c r="A1732" i="1"/>
  <c r="G1732" i="1"/>
  <c r="H1732" i="1"/>
  <c r="I1732" i="1"/>
  <c r="J1732" i="1"/>
  <c r="K1732" i="1"/>
  <c r="M1732" i="1"/>
  <c r="A4056" i="1"/>
  <c r="G4056" i="1"/>
  <c r="H4056" i="1"/>
  <c r="I4056" i="1"/>
  <c r="J4056" i="1"/>
  <c r="K4056" i="1"/>
  <c r="M4056" i="1"/>
  <c r="A1733" i="1"/>
  <c r="G1733" i="1"/>
  <c r="H1733" i="1"/>
  <c r="I1733" i="1"/>
  <c r="J1733" i="1"/>
  <c r="K1733" i="1"/>
  <c r="M1733" i="1"/>
  <c r="A4057" i="1"/>
  <c r="G4057" i="1"/>
  <c r="H4057" i="1"/>
  <c r="I4057" i="1"/>
  <c r="J4057" i="1"/>
  <c r="A2660" i="1"/>
  <c r="G2660" i="1"/>
  <c r="H2660" i="1"/>
  <c r="I2660" i="1"/>
  <c r="J2660" i="1"/>
  <c r="K2660" i="1"/>
  <c r="M2660" i="1"/>
  <c r="A4058" i="1"/>
  <c r="G4058" i="1"/>
  <c r="H4058" i="1"/>
  <c r="I4058" i="1"/>
  <c r="J4058" i="1"/>
  <c r="K4058" i="1"/>
  <c r="M4058" i="1"/>
  <c r="A1734" i="1"/>
  <c r="G1734" i="1"/>
  <c r="H1734" i="1"/>
  <c r="I1734" i="1"/>
  <c r="J1734" i="1"/>
  <c r="K1734" i="1"/>
  <c r="M1734" i="1"/>
  <c r="A1735" i="1"/>
  <c r="G1735" i="1"/>
  <c r="H1735" i="1"/>
  <c r="I1735" i="1"/>
  <c r="J1735" i="1"/>
  <c r="K1735" i="1"/>
  <c r="M1735" i="1"/>
  <c r="A1736" i="1"/>
  <c r="G1736" i="1"/>
  <c r="H1736" i="1"/>
  <c r="I1736" i="1"/>
  <c r="J1736" i="1"/>
  <c r="K1736" i="1"/>
  <c r="M1736" i="1"/>
  <c r="A1737" i="1"/>
  <c r="G1737" i="1"/>
  <c r="H1737" i="1"/>
  <c r="I1737" i="1"/>
  <c r="J1737" i="1"/>
  <c r="K1737" i="1"/>
  <c r="M1737" i="1"/>
  <c r="A1738" i="1"/>
  <c r="G1738" i="1"/>
  <c r="H1738" i="1"/>
  <c r="I1738" i="1"/>
  <c r="J1738" i="1"/>
  <c r="K1738" i="1"/>
  <c r="M1738" i="1"/>
  <c r="A4059" i="1"/>
  <c r="G4059" i="1"/>
  <c r="H4059" i="1"/>
  <c r="I4059" i="1"/>
  <c r="J4059" i="1"/>
  <c r="K4059" i="1"/>
  <c r="M4059" i="1"/>
  <c r="A1739" i="1"/>
  <c r="G1739" i="1"/>
  <c r="H1739" i="1"/>
  <c r="I1739" i="1"/>
  <c r="J1739" i="1"/>
  <c r="K1739" i="1"/>
  <c r="M1739" i="1"/>
  <c r="A4060" i="1"/>
  <c r="G4060" i="1"/>
  <c r="H4060" i="1"/>
  <c r="I4060" i="1"/>
  <c r="J4060" i="1"/>
  <c r="A4774" i="1"/>
  <c r="G4774" i="1"/>
  <c r="H4774" i="1"/>
  <c r="I4774" i="1"/>
  <c r="J4774" i="1"/>
  <c r="M4774" i="1"/>
  <c r="A1740" i="1"/>
  <c r="G1740" i="1"/>
  <c r="H1740" i="1"/>
  <c r="I1740" i="1"/>
  <c r="J1740" i="1"/>
  <c r="K1740" i="1"/>
  <c r="M1740" i="1"/>
  <c r="A1741" i="1"/>
  <c r="G1741" i="1"/>
  <c r="H1741" i="1"/>
  <c r="I1741" i="1"/>
  <c r="J1741" i="1"/>
  <c r="K1741" i="1"/>
  <c r="M1741" i="1"/>
  <c r="A1742" i="1"/>
  <c r="G1742" i="1"/>
  <c r="H1742" i="1"/>
  <c r="I1742" i="1"/>
  <c r="J1742" i="1"/>
  <c r="K1742" i="1"/>
  <c r="M1742" i="1"/>
  <c r="A4061" i="1"/>
  <c r="G4061" i="1"/>
  <c r="H4061" i="1"/>
  <c r="I4061" i="1"/>
  <c r="J4061" i="1"/>
  <c r="K4061" i="1"/>
  <c r="M4061" i="1"/>
  <c r="A1743" i="1"/>
  <c r="G1743" i="1"/>
  <c r="H1743" i="1"/>
  <c r="I1743" i="1"/>
  <c r="J1743" i="1"/>
  <c r="K1743" i="1"/>
  <c r="M1743" i="1"/>
  <c r="A1744" i="1"/>
  <c r="G1744" i="1"/>
  <c r="H1744" i="1"/>
  <c r="I1744" i="1"/>
  <c r="J1744" i="1"/>
  <c r="K1744" i="1"/>
  <c r="M1744" i="1"/>
  <c r="A2661" i="1"/>
  <c r="G2661" i="1"/>
  <c r="H2661" i="1"/>
  <c r="I2661" i="1"/>
  <c r="J2661" i="1"/>
  <c r="A2662" i="1"/>
  <c r="G2662" i="1"/>
  <c r="H2662" i="1"/>
  <c r="I2662" i="1"/>
  <c r="J2662" i="1"/>
  <c r="K2662" i="1"/>
  <c r="M2662" i="1"/>
  <c r="A4062" i="1"/>
  <c r="G4062" i="1"/>
  <c r="H4062" i="1"/>
  <c r="I4062" i="1"/>
  <c r="J4062" i="1"/>
  <c r="K4062" i="1"/>
  <c r="M4062" i="1"/>
  <c r="A4063" i="1"/>
  <c r="G4063" i="1"/>
  <c r="H4063" i="1"/>
  <c r="I4063" i="1"/>
  <c r="J4063" i="1"/>
  <c r="A4064" i="1"/>
  <c r="G4064" i="1"/>
  <c r="H4064" i="1"/>
  <c r="I4064" i="1"/>
  <c r="J4064" i="1"/>
  <c r="A1745" i="1"/>
  <c r="G1745" i="1"/>
  <c r="H1745" i="1"/>
  <c r="I1745" i="1"/>
  <c r="J1745" i="1"/>
  <c r="K1745" i="1"/>
  <c r="M1745" i="1"/>
  <c r="A4065" i="1"/>
  <c r="G4065" i="1"/>
  <c r="H4065" i="1"/>
  <c r="I4065" i="1"/>
  <c r="J4065" i="1"/>
  <c r="K4065" i="1"/>
  <c r="M4065" i="1"/>
  <c r="A2663" i="1"/>
  <c r="G2663" i="1"/>
  <c r="H2663" i="1"/>
  <c r="I2663" i="1"/>
  <c r="J2663" i="1"/>
  <c r="K2663" i="1"/>
  <c r="M2663" i="1"/>
  <c r="A1746" i="1"/>
  <c r="G1746" i="1"/>
  <c r="H1746" i="1"/>
  <c r="I1746" i="1"/>
  <c r="J1746" i="1"/>
  <c r="K1746" i="1"/>
  <c r="M1746" i="1"/>
  <c r="A2664" i="1"/>
  <c r="G2664" i="1"/>
  <c r="H2664" i="1"/>
  <c r="I2664" i="1"/>
  <c r="J2664" i="1"/>
  <c r="A2665" i="1"/>
  <c r="G2665" i="1"/>
  <c r="H2665" i="1"/>
  <c r="I2665" i="1"/>
  <c r="J2665" i="1"/>
  <c r="A1747" i="1"/>
  <c r="G1747" i="1"/>
  <c r="H1747" i="1"/>
  <c r="I1747" i="1"/>
  <c r="J1747" i="1"/>
  <c r="K1747" i="1"/>
  <c r="M1747" i="1"/>
  <c r="A164" i="1"/>
  <c r="G164" i="1"/>
  <c r="H164" i="1"/>
  <c r="I164" i="1"/>
  <c r="J164" i="1"/>
  <c r="A1748" i="1"/>
  <c r="G1748" i="1"/>
  <c r="H1748" i="1"/>
  <c r="I1748" i="1"/>
  <c r="J1748" i="1"/>
  <c r="K1748" i="1"/>
  <c r="M1748" i="1"/>
  <c r="A1749" i="1"/>
  <c r="G1749" i="1"/>
  <c r="H1749" i="1"/>
  <c r="I1749" i="1"/>
  <c r="J1749" i="1"/>
  <c r="K1749" i="1"/>
  <c r="M1749" i="1"/>
  <c r="A4177" i="1"/>
  <c r="G4177" i="1"/>
  <c r="H4177" i="1"/>
  <c r="I4177" i="1"/>
  <c r="J4177" i="1"/>
  <c r="K4177" i="1"/>
  <c r="M4177" i="1"/>
  <c r="A2902" i="1"/>
  <c r="G2902" i="1"/>
  <c r="H2902" i="1"/>
  <c r="I2902" i="1"/>
  <c r="J2902" i="1"/>
  <c r="K2902" i="1"/>
  <c r="M2902" i="1"/>
  <c r="A1750" i="1"/>
  <c r="G1750" i="1"/>
  <c r="H1750" i="1"/>
  <c r="I1750" i="1"/>
  <c r="J1750" i="1"/>
  <c r="K1750" i="1"/>
  <c r="M1750" i="1"/>
  <c r="A4584" i="1"/>
  <c r="G4584" i="1"/>
  <c r="H4584" i="1"/>
  <c r="I4584" i="1"/>
  <c r="J4584" i="1"/>
  <c r="K4584" i="1"/>
  <c r="M4584" i="1"/>
  <c r="A4339" i="1"/>
  <c r="G4339" i="1"/>
  <c r="H4339" i="1"/>
  <c r="I4339" i="1"/>
  <c r="J4339" i="1"/>
  <c r="K4339" i="1"/>
  <c r="M4339" i="1"/>
  <c r="A2666" i="1"/>
  <c r="G2666" i="1"/>
  <c r="H2666" i="1"/>
  <c r="I2666" i="1"/>
  <c r="J2666" i="1"/>
  <c r="A1751" i="1"/>
  <c r="G1751" i="1"/>
  <c r="H1751" i="1"/>
  <c r="I1751" i="1"/>
  <c r="J1751" i="1"/>
  <c r="K1751" i="1"/>
  <c r="M1751" i="1"/>
  <c r="A4066" i="1"/>
  <c r="G4066" i="1"/>
  <c r="H4066" i="1"/>
  <c r="I4066" i="1"/>
  <c r="J4066" i="1"/>
  <c r="K4066" i="1"/>
  <c r="M4066" i="1"/>
  <c r="A4067" i="1"/>
  <c r="G4067" i="1"/>
  <c r="H4067" i="1"/>
  <c r="I4067" i="1"/>
  <c r="J4067" i="1"/>
  <c r="A1752" i="1"/>
  <c r="G1752" i="1"/>
  <c r="H1752" i="1"/>
  <c r="I1752" i="1"/>
  <c r="J1752" i="1"/>
  <c r="K1752" i="1"/>
  <c r="M1752" i="1"/>
  <c r="A1753" i="1"/>
  <c r="G1753" i="1"/>
  <c r="H1753" i="1"/>
  <c r="I1753" i="1"/>
  <c r="J1753" i="1"/>
  <c r="M1753" i="1"/>
  <c r="A1754" i="1"/>
  <c r="G1754" i="1"/>
  <c r="H1754" i="1"/>
  <c r="I1754" i="1"/>
  <c r="J1754" i="1"/>
  <c r="K1754" i="1"/>
  <c r="M1754" i="1"/>
  <c r="A1755" i="1"/>
  <c r="G1755" i="1"/>
  <c r="H1755" i="1"/>
  <c r="I1755" i="1"/>
  <c r="J1755" i="1"/>
  <c r="K1755" i="1"/>
  <c r="M1755" i="1"/>
  <c r="A4634" i="1"/>
  <c r="G4634" i="1"/>
  <c r="H4634" i="1"/>
  <c r="I4634" i="1"/>
  <c r="J4634" i="1"/>
  <c r="K4634" i="1"/>
  <c r="M4634" i="1"/>
  <c r="A4068" i="1"/>
  <c r="G4068" i="1"/>
  <c r="H4068" i="1"/>
  <c r="I4068" i="1"/>
  <c r="J4068" i="1"/>
  <c r="K4068" i="1"/>
  <c r="M4068" i="1"/>
  <c r="A1756" i="1"/>
  <c r="G1756" i="1"/>
  <c r="H1756" i="1"/>
  <c r="I1756" i="1"/>
  <c r="J1756" i="1"/>
  <c r="K1756" i="1"/>
  <c r="M1756" i="1"/>
  <c r="A4289" i="1"/>
  <c r="G4289" i="1"/>
  <c r="H4289" i="1"/>
  <c r="I4289" i="1"/>
  <c r="J4289" i="1"/>
  <c r="A1757" i="1"/>
  <c r="G1757" i="1"/>
  <c r="H1757" i="1"/>
  <c r="I1757" i="1"/>
  <c r="J1757" i="1"/>
  <c r="K1757" i="1"/>
  <c r="M1757" i="1"/>
  <c r="A4290" i="1"/>
  <c r="G4290" i="1"/>
  <c r="H4290" i="1"/>
  <c r="I4290" i="1"/>
  <c r="J4290" i="1"/>
  <c r="K4290" i="1"/>
  <c r="M4290" i="1"/>
  <c r="A2667" i="1"/>
  <c r="G2667" i="1"/>
  <c r="H2667" i="1"/>
  <c r="I2667" i="1"/>
  <c r="J2667" i="1"/>
  <c r="K2667" i="1"/>
  <c r="M2667" i="1"/>
  <c r="A4069" i="1"/>
  <c r="G4069" i="1"/>
  <c r="H4069" i="1"/>
  <c r="I4069" i="1"/>
  <c r="J4069" i="1"/>
  <c r="K4069" i="1"/>
  <c r="M4069" i="1"/>
  <c r="A4070" i="1"/>
  <c r="G4070" i="1"/>
  <c r="H4070" i="1"/>
  <c r="I4070" i="1"/>
  <c r="J4070" i="1"/>
  <c r="K4070" i="1"/>
  <c r="M4070" i="1"/>
  <c r="A4071" i="1"/>
  <c r="G4071" i="1"/>
  <c r="H4071" i="1"/>
  <c r="I4071" i="1"/>
  <c r="J4071" i="1"/>
  <c r="K4071" i="1"/>
  <c r="M4071" i="1"/>
  <c r="A4072" i="1"/>
  <c r="G4072" i="1"/>
  <c r="H4072" i="1"/>
  <c r="I4072" i="1"/>
  <c r="J4072" i="1"/>
  <c r="A1758" i="1"/>
  <c r="G1758" i="1"/>
  <c r="H1758" i="1"/>
  <c r="I1758" i="1"/>
  <c r="J1758" i="1"/>
  <c r="K1758" i="1"/>
  <c r="M1758" i="1"/>
  <c r="A2668" i="1"/>
  <c r="G2668" i="1"/>
  <c r="H2668" i="1"/>
  <c r="I2668" i="1"/>
  <c r="J2668" i="1"/>
  <c r="L2668" i="1"/>
  <c r="M2668" i="1"/>
  <c r="A1759" i="1"/>
  <c r="G1759" i="1"/>
  <c r="H1759" i="1"/>
  <c r="I1759" i="1"/>
  <c r="J1759" i="1"/>
  <c r="K1759" i="1"/>
  <c r="M1759" i="1"/>
  <c r="A4073" i="1"/>
  <c r="G4073" i="1"/>
  <c r="H4073" i="1"/>
  <c r="I4073" i="1"/>
  <c r="J4073" i="1"/>
  <c r="K4073" i="1"/>
  <c r="M4073" i="1"/>
  <c r="A2669" i="1"/>
  <c r="G2669" i="1"/>
  <c r="H2669" i="1"/>
  <c r="I2669" i="1"/>
  <c r="J2669" i="1"/>
  <c r="K2669" i="1"/>
  <c r="M2669" i="1"/>
  <c r="A4074" i="1"/>
  <c r="G4074" i="1"/>
  <c r="H4074" i="1"/>
  <c r="I4074" i="1"/>
  <c r="J4074" i="1"/>
  <c r="A4075" i="1"/>
  <c r="G4075" i="1"/>
  <c r="H4075" i="1"/>
  <c r="I4075" i="1"/>
  <c r="J4075" i="1"/>
  <c r="K4075" i="1"/>
  <c r="M4075" i="1"/>
  <c r="A2670" i="1"/>
  <c r="G2670" i="1"/>
  <c r="H2670" i="1"/>
  <c r="I2670" i="1"/>
  <c r="J2670" i="1"/>
  <c r="K2670" i="1"/>
  <c r="M2670" i="1"/>
  <c r="A1760" i="1"/>
  <c r="G1760" i="1"/>
  <c r="H1760" i="1"/>
  <c r="I1760" i="1"/>
  <c r="J1760" i="1"/>
  <c r="K1760" i="1"/>
  <c r="M1760" i="1"/>
  <c r="A2671" i="1"/>
  <c r="G2671" i="1"/>
  <c r="H2671" i="1"/>
  <c r="I2671" i="1"/>
  <c r="J2671" i="1"/>
  <c r="A2672" i="1"/>
  <c r="G2672" i="1"/>
  <c r="H2672" i="1"/>
  <c r="I2672" i="1"/>
  <c r="J2672" i="1"/>
  <c r="K2672" i="1"/>
  <c r="M2672" i="1"/>
  <c r="A2673" i="1"/>
  <c r="G2673" i="1"/>
  <c r="H2673" i="1"/>
  <c r="I2673" i="1"/>
  <c r="J2673" i="1"/>
  <c r="K2673" i="1"/>
  <c r="M2673" i="1"/>
  <c r="A2674" i="1"/>
  <c r="G2674" i="1"/>
  <c r="H2674" i="1"/>
  <c r="I2674" i="1"/>
  <c r="J2674" i="1"/>
  <c r="K2674" i="1"/>
  <c r="M2674" i="1"/>
  <c r="A4291" i="1"/>
  <c r="G4291" i="1"/>
  <c r="H4291" i="1"/>
  <c r="I4291" i="1"/>
  <c r="J4291" i="1"/>
  <c r="K4291" i="1"/>
  <c r="M4291" i="1"/>
  <c r="A4076" i="1"/>
  <c r="G4076" i="1"/>
  <c r="H4076" i="1"/>
  <c r="I4076" i="1"/>
  <c r="J4076" i="1"/>
  <c r="A165" i="1"/>
  <c r="G165" i="1"/>
  <c r="H165" i="1"/>
  <c r="I165" i="1"/>
  <c r="J165" i="1"/>
  <c r="A1761" i="1"/>
  <c r="G1761" i="1"/>
  <c r="H1761" i="1"/>
  <c r="I1761" i="1"/>
  <c r="J1761" i="1"/>
  <c r="A1762" i="1"/>
  <c r="G1762" i="1"/>
  <c r="H1762" i="1"/>
  <c r="I1762" i="1"/>
  <c r="J1762" i="1"/>
  <c r="K1762" i="1"/>
  <c r="M1762" i="1"/>
  <c r="A1763" i="1"/>
  <c r="G1763" i="1"/>
  <c r="H1763" i="1"/>
  <c r="I1763" i="1"/>
  <c r="J1763" i="1"/>
  <c r="K1763" i="1"/>
  <c r="M1763" i="1"/>
  <c r="A4077" i="1"/>
  <c r="G4077" i="1"/>
  <c r="H4077" i="1"/>
  <c r="I4077" i="1"/>
  <c r="J4077" i="1"/>
  <c r="K4077" i="1"/>
  <c r="M4077" i="1"/>
  <c r="A2675" i="1"/>
  <c r="G2675" i="1"/>
  <c r="H2675" i="1"/>
  <c r="I2675" i="1"/>
  <c r="J2675" i="1"/>
  <c r="A1764" i="1"/>
  <c r="G1764" i="1"/>
  <c r="H1764" i="1"/>
  <c r="I1764" i="1"/>
  <c r="J1764" i="1"/>
  <c r="K1764" i="1"/>
  <c r="M1764" i="1"/>
  <c r="A2676" i="1"/>
  <c r="G2676" i="1"/>
  <c r="H2676" i="1"/>
  <c r="I2676" i="1"/>
  <c r="J2676" i="1"/>
  <c r="A4078" i="1"/>
  <c r="G4078" i="1"/>
  <c r="H4078" i="1"/>
  <c r="I4078" i="1"/>
  <c r="J4078" i="1"/>
  <c r="K4078" i="1"/>
  <c r="M4078" i="1"/>
  <c r="A1765" i="1"/>
  <c r="G1765" i="1"/>
  <c r="H1765" i="1"/>
  <c r="I1765" i="1"/>
  <c r="J1765" i="1"/>
  <c r="K1765" i="1"/>
  <c r="M1765" i="1"/>
  <c r="A166" i="1"/>
  <c r="G166" i="1"/>
  <c r="H166" i="1"/>
  <c r="I166" i="1"/>
  <c r="J166" i="1"/>
  <c r="K166" i="1"/>
  <c r="M166" i="1"/>
  <c r="A2677" i="1"/>
  <c r="G2677" i="1"/>
  <c r="H2677" i="1"/>
  <c r="I2677" i="1"/>
  <c r="J2677" i="1"/>
  <c r="K2677" i="1"/>
  <c r="M2677" i="1"/>
  <c r="A1766" i="1"/>
  <c r="G1766" i="1"/>
  <c r="H1766" i="1"/>
  <c r="I1766" i="1"/>
  <c r="J1766" i="1"/>
  <c r="M1766" i="1"/>
  <c r="A4585" i="1"/>
  <c r="G4585" i="1"/>
  <c r="H4585" i="1"/>
  <c r="I4585" i="1"/>
  <c r="J4585" i="1"/>
  <c r="K4585" i="1"/>
  <c r="M4585" i="1"/>
  <c r="A4340" i="1"/>
  <c r="G4340" i="1"/>
  <c r="H4340" i="1"/>
  <c r="I4340" i="1"/>
  <c r="J4340" i="1"/>
  <c r="M4340" i="1"/>
  <c r="A4079" i="1"/>
  <c r="G4079" i="1"/>
  <c r="H4079" i="1"/>
  <c r="I4079" i="1"/>
  <c r="J4079" i="1"/>
  <c r="K4079" i="1"/>
  <c r="M4079" i="1"/>
  <c r="A1767" i="1"/>
  <c r="G1767" i="1"/>
  <c r="H1767" i="1"/>
  <c r="I1767" i="1"/>
  <c r="J1767" i="1"/>
  <c r="K1767" i="1"/>
  <c r="M1767" i="1"/>
  <c r="A1768" i="1"/>
  <c r="G1768" i="1"/>
  <c r="H1768" i="1"/>
  <c r="I1768" i="1"/>
  <c r="J1768" i="1"/>
  <c r="K1768" i="1"/>
  <c r="M1768" i="1"/>
  <c r="A2678" i="1"/>
  <c r="G2678" i="1"/>
  <c r="H2678" i="1"/>
  <c r="I2678" i="1"/>
  <c r="J2678" i="1"/>
  <c r="K2678" i="1"/>
  <c r="M2678" i="1"/>
  <c r="A4080" i="1"/>
  <c r="G4080" i="1"/>
  <c r="H4080" i="1"/>
  <c r="I4080" i="1"/>
  <c r="J4080" i="1"/>
  <c r="A1769" i="1"/>
  <c r="G1769" i="1"/>
  <c r="H1769" i="1"/>
  <c r="I1769" i="1"/>
  <c r="J1769" i="1"/>
  <c r="K1769" i="1"/>
  <c r="M1769" i="1"/>
  <c r="A2903" i="1"/>
  <c r="G2903" i="1"/>
  <c r="H2903" i="1"/>
  <c r="I2903" i="1"/>
  <c r="J2903" i="1"/>
  <c r="K2903" i="1"/>
  <c r="M2903" i="1"/>
  <c r="A2679" i="1"/>
  <c r="G2679" i="1"/>
  <c r="H2679" i="1"/>
  <c r="I2679" i="1"/>
  <c r="J2679" i="1"/>
  <c r="A1770" i="1"/>
  <c r="G1770" i="1"/>
  <c r="H1770" i="1"/>
  <c r="I1770" i="1"/>
  <c r="J1770" i="1"/>
  <c r="K1770" i="1"/>
  <c r="M1770" i="1"/>
  <c r="A4081" i="1"/>
  <c r="G4081" i="1"/>
  <c r="H4081" i="1"/>
  <c r="I4081" i="1"/>
  <c r="J4081" i="1"/>
  <c r="K4081" i="1"/>
  <c r="M4081" i="1"/>
  <c r="A2680" i="1"/>
  <c r="G2680" i="1"/>
  <c r="H2680" i="1"/>
  <c r="I2680" i="1"/>
  <c r="J2680" i="1"/>
  <c r="K2680" i="1"/>
  <c r="M2680" i="1"/>
  <c r="A1771" i="1"/>
  <c r="G1771" i="1"/>
  <c r="H1771" i="1"/>
  <c r="I1771" i="1"/>
  <c r="J1771" i="1"/>
  <c r="K1771" i="1"/>
  <c r="M1771" i="1"/>
  <c r="A1772" i="1"/>
  <c r="G1772" i="1"/>
  <c r="H1772" i="1"/>
  <c r="I1772" i="1"/>
  <c r="J1772" i="1"/>
  <c r="K1772" i="1"/>
  <c r="M1772" i="1"/>
  <c r="A1773" i="1"/>
  <c r="G1773" i="1"/>
  <c r="H1773" i="1"/>
  <c r="I1773" i="1"/>
  <c r="J1773" i="1"/>
  <c r="K1773" i="1"/>
  <c r="M1773" i="1"/>
  <c r="A2681" i="1"/>
  <c r="G2681" i="1"/>
  <c r="H2681" i="1"/>
  <c r="I2681" i="1"/>
  <c r="J2681" i="1"/>
  <c r="A1774" i="1"/>
  <c r="G1774" i="1"/>
  <c r="H1774" i="1"/>
  <c r="I1774" i="1"/>
  <c r="J1774" i="1"/>
  <c r="M1774" i="1"/>
  <c r="A4082" i="1"/>
  <c r="G4082" i="1"/>
  <c r="H4082" i="1"/>
  <c r="I4082" i="1"/>
  <c r="J4082" i="1"/>
  <c r="K4082" i="1"/>
  <c r="L4082" i="1"/>
  <c r="M4082" i="1"/>
  <c r="A4292" i="1"/>
  <c r="G4292" i="1"/>
  <c r="H4292" i="1"/>
  <c r="I4292" i="1"/>
  <c r="J4292" i="1"/>
  <c r="K4292" i="1"/>
  <c r="M4292" i="1"/>
  <c r="A2682" i="1"/>
  <c r="G2682" i="1"/>
  <c r="H2682" i="1"/>
  <c r="I2682" i="1"/>
  <c r="J2682" i="1"/>
  <c r="K2682" i="1"/>
  <c r="M2682" i="1"/>
  <c r="A2683" i="1"/>
  <c r="G2683" i="1"/>
  <c r="H2683" i="1"/>
  <c r="I2683" i="1"/>
  <c r="J2683" i="1"/>
  <c r="K2683" i="1"/>
  <c r="M2683" i="1"/>
  <c r="A2684" i="1"/>
  <c r="G2684" i="1"/>
  <c r="H2684" i="1"/>
  <c r="I2684" i="1"/>
  <c r="J2684" i="1"/>
  <c r="A2685" i="1"/>
  <c r="G2685" i="1"/>
  <c r="H2685" i="1"/>
  <c r="I2685" i="1"/>
  <c r="J2685" i="1"/>
  <c r="K2685" i="1"/>
  <c r="M2685" i="1"/>
  <c r="A1775" i="1"/>
  <c r="G1775" i="1"/>
  <c r="H1775" i="1"/>
  <c r="I1775" i="1"/>
  <c r="J1775" i="1"/>
  <c r="L1775" i="1"/>
  <c r="M1775" i="1"/>
  <c r="A167" i="1"/>
  <c r="G167" i="1"/>
  <c r="H167" i="1"/>
  <c r="I167" i="1"/>
  <c r="J167" i="1"/>
  <c r="K167" i="1"/>
  <c r="M167" i="1"/>
  <c r="A1776" i="1"/>
  <c r="G1776" i="1"/>
  <c r="H1776" i="1"/>
  <c r="I1776" i="1"/>
  <c r="J1776" i="1"/>
  <c r="K1776" i="1"/>
  <c r="M1776" i="1"/>
  <c r="A2686" i="1"/>
  <c r="G2686" i="1"/>
  <c r="H2686" i="1"/>
  <c r="I2686" i="1"/>
  <c r="J2686" i="1"/>
  <c r="A1777" i="1"/>
  <c r="G1777" i="1"/>
  <c r="H1777" i="1"/>
  <c r="I1777" i="1"/>
  <c r="J1777" i="1"/>
  <c r="M1777" i="1"/>
  <c r="A2687" i="1"/>
  <c r="G2687" i="1"/>
  <c r="H2687" i="1"/>
  <c r="I2687" i="1"/>
  <c r="J2687" i="1"/>
  <c r="K2687" i="1"/>
  <c r="M2687" i="1"/>
  <c r="A1778" i="1"/>
  <c r="G1778" i="1"/>
  <c r="H1778" i="1"/>
  <c r="I1778" i="1"/>
  <c r="J1778" i="1"/>
  <c r="K1778" i="1"/>
  <c r="M1778" i="1"/>
  <c r="A4628" i="1"/>
  <c r="G4628" i="1"/>
  <c r="H4628" i="1"/>
  <c r="I4628" i="1"/>
  <c r="J4628" i="1"/>
  <c r="A4083" i="1"/>
  <c r="G4083" i="1"/>
  <c r="H4083" i="1"/>
  <c r="I4083" i="1"/>
  <c r="J4083" i="1"/>
  <c r="K4083" i="1"/>
  <c r="M4083" i="1"/>
  <c r="A1779" i="1"/>
  <c r="G1779" i="1"/>
  <c r="H1779" i="1"/>
  <c r="I1779" i="1"/>
  <c r="J1779" i="1"/>
  <c r="K1779" i="1"/>
  <c r="M1779" i="1"/>
  <c r="A4586" i="1"/>
  <c r="G4586" i="1"/>
  <c r="H4586" i="1"/>
  <c r="I4586" i="1"/>
  <c r="J4586" i="1"/>
  <c r="K4586" i="1"/>
  <c r="M4586" i="1"/>
  <c r="A1780" i="1"/>
  <c r="G1780" i="1"/>
  <c r="H1780" i="1"/>
  <c r="I1780" i="1"/>
  <c r="J1780" i="1"/>
  <c r="M1780" i="1"/>
  <c r="A168" i="1"/>
  <c r="G168" i="1"/>
  <c r="H168" i="1"/>
  <c r="I168" i="1"/>
  <c r="J168" i="1"/>
  <c r="A1781" i="1"/>
  <c r="G1781" i="1"/>
  <c r="H1781" i="1"/>
  <c r="I1781" i="1"/>
  <c r="J1781" i="1"/>
  <c r="K1781" i="1"/>
  <c r="M1781" i="1"/>
  <c r="A1782" i="1"/>
  <c r="G1782" i="1"/>
  <c r="H1782" i="1"/>
  <c r="I1782" i="1"/>
  <c r="J1782" i="1"/>
  <c r="K1782" i="1"/>
  <c r="M1782" i="1"/>
  <c r="A169" i="1"/>
  <c r="G169" i="1"/>
  <c r="H169" i="1"/>
  <c r="I169" i="1"/>
  <c r="J169" i="1"/>
  <c r="K169" i="1"/>
  <c r="M169" i="1"/>
  <c r="A1783" i="1"/>
  <c r="G1783" i="1"/>
  <c r="H1783" i="1"/>
  <c r="I1783" i="1"/>
  <c r="J1783" i="1"/>
  <c r="K1783" i="1"/>
  <c r="M1783" i="1"/>
  <c r="A1784" i="1"/>
  <c r="G1784" i="1"/>
  <c r="H1784" i="1"/>
  <c r="I1784" i="1"/>
  <c r="J1784" i="1"/>
  <c r="K1784" i="1"/>
  <c r="M1784" i="1"/>
  <c r="A2688" i="1"/>
  <c r="G2688" i="1"/>
  <c r="H2688" i="1"/>
  <c r="I2688" i="1"/>
  <c r="J2688" i="1"/>
  <c r="K2688" i="1"/>
  <c r="M2688" i="1"/>
  <c r="A1785" i="1"/>
  <c r="G1785" i="1"/>
  <c r="H1785" i="1"/>
  <c r="I1785" i="1"/>
  <c r="J1785" i="1"/>
  <c r="K1785" i="1"/>
  <c r="M1785" i="1"/>
  <c r="A2689" i="1"/>
  <c r="G2689" i="1"/>
  <c r="H2689" i="1"/>
  <c r="I2689" i="1"/>
  <c r="J2689" i="1"/>
  <c r="K2689" i="1"/>
  <c r="M2689" i="1"/>
  <c r="A2690" i="1"/>
  <c r="G2690" i="1"/>
  <c r="H2690" i="1"/>
  <c r="I2690" i="1"/>
  <c r="J2690" i="1"/>
  <c r="M2690" i="1"/>
  <c r="A170" i="1"/>
  <c r="G170" i="1"/>
  <c r="H170" i="1"/>
  <c r="I170" i="1"/>
  <c r="J170" i="1"/>
  <c r="K170" i="1"/>
  <c r="M170" i="1"/>
  <c r="A1786" i="1"/>
  <c r="G1786" i="1"/>
  <c r="H1786" i="1"/>
  <c r="I1786" i="1"/>
  <c r="J1786" i="1"/>
  <c r="K1786" i="1"/>
  <c r="M1786" i="1"/>
  <c r="A2691" i="1"/>
  <c r="G2691" i="1"/>
  <c r="H2691" i="1"/>
  <c r="I2691" i="1"/>
  <c r="J2691" i="1"/>
  <c r="K2691" i="1"/>
  <c r="M2691" i="1"/>
  <c r="A2692" i="1"/>
  <c r="G2692" i="1"/>
  <c r="H2692" i="1"/>
  <c r="I2692" i="1"/>
  <c r="J2692" i="1"/>
  <c r="K2692" i="1"/>
  <c r="M2692" i="1"/>
  <c r="A1787" i="1"/>
  <c r="G1787" i="1"/>
  <c r="H1787" i="1"/>
  <c r="I1787" i="1"/>
  <c r="J1787" i="1"/>
  <c r="K1787" i="1"/>
  <c r="M1787" i="1"/>
  <c r="A4587" i="1"/>
  <c r="G4587" i="1"/>
  <c r="H4587" i="1"/>
  <c r="I4587" i="1"/>
  <c r="J4587" i="1"/>
  <c r="K4587" i="1"/>
  <c r="M4587" i="1"/>
  <c r="A1788" i="1"/>
  <c r="G1788" i="1"/>
  <c r="H1788" i="1"/>
  <c r="I1788" i="1"/>
  <c r="J1788" i="1"/>
  <c r="K1788" i="1"/>
  <c r="M1788" i="1"/>
  <c r="A2693" i="1"/>
  <c r="G2693" i="1"/>
  <c r="H2693" i="1"/>
  <c r="I2693" i="1"/>
  <c r="J2693" i="1"/>
  <c r="K2693" i="1"/>
  <c r="M2693" i="1"/>
  <c r="A4084" i="1"/>
  <c r="G4084" i="1"/>
  <c r="H4084" i="1"/>
  <c r="I4084" i="1"/>
  <c r="J4084" i="1"/>
  <c r="K4084" i="1"/>
  <c r="M4084" i="1"/>
  <c r="A4085" i="1"/>
  <c r="G4085" i="1"/>
  <c r="H4085" i="1"/>
  <c r="I4085" i="1"/>
  <c r="J4085" i="1"/>
  <c r="A2694" i="1"/>
  <c r="G2694" i="1"/>
  <c r="H2694" i="1"/>
  <c r="I2694" i="1"/>
  <c r="J2694" i="1"/>
  <c r="A2826" i="1"/>
  <c r="G2826" i="1"/>
  <c r="H2826" i="1"/>
  <c r="I2826" i="1"/>
  <c r="J2826" i="1"/>
  <c r="K2826" i="1"/>
  <c r="M2826" i="1"/>
  <c r="A4086" i="1"/>
  <c r="G4086" i="1"/>
  <c r="H4086" i="1"/>
  <c r="I4086" i="1"/>
  <c r="J4086" i="1"/>
  <c r="K4086" i="1"/>
  <c r="M4086" i="1"/>
  <c r="A1789" i="1"/>
  <c r="G1789" i="1"/>
  <c r="H1789" i="1"/>
  <c r="I1789" i="1"/>
  <c r="J1789" i="1"/>
  <c r="M1789" i="1"/>
  <c r="A2695" i="1"/>
  <c r="G2695" i="1"/>
  <c r="H2695" i="1"/>
  <c r="I2695" i="1"/>
  <c r="J2695" i="1"/>
  <c r="A2696" i="1"/>
  <c r="G2696" i="1"/>
  <c r="H2696" i="1"/>
  <c r="I2696" i="1"/>
  <c r="J2696" i="1"/>
  <c r="A2697" i="1"/>
  <c r="G2697" i="1"/>
  <c r="H2697" i="1"/>
  <c r="I2697" i="1"/>
  <c r="J2697" i="1"/>
  <c r="K2697" i="1"/>
  <c r="M2697" i="1"/>
  <c r="A1790" i="1"/>
  <c r="G1790" i="1"/>
  <c r="H1790" i="1"/>
  <c r="I1790" i="1"/>
  <c r="J1790" i="1"/>
  <c r="K1790" i="1"/>
  <c r="M1790" i="1"/>
  <c r="A1791" i="1"/>
  <c r="G1791" i="1"/>
  <c r="H1791" i="1"/>
  <c r="I1791" i="1"/>
  <c r="J1791" i="1"/>
  <c r="L1791" i="1"/>
  <c r="M1791" i="1"/>
  <c r="A4293" i="1"/>
  <c r="G4293" i="1"/>
  <c r="H4293" i="1"/>
  <c r="I4293" i="1"/>
  <c r="J4293" i="1"/>
  <c r="A4588" i="1"/>
  <c r="G4588" i="1"/>
  <c r="H4588" i="1"/>
  <c r="I4588" i="1"/>
  <c r="J4588" i="1"/>
  <c r="K4588" i="1"/>
  <c r="M4588" i="1"/>
  <c r="A2698" i="1"/>
  <c r="G2698" i="1"/>
  <c r="H2698" i="1"/>
  <c r="I2698" i="1"/>
  <c r="J2698" i="1"/>
  <c r="A4589" i="1"/>
  <c r="G4589" i="1"/>
  <c r="H4589" i="1"/>
  <c r="I4589" i="1"/>
  <c r="J4589" i="1"/>
  <c r="K4589" i="1"/>
  <c r="M4589" i="1"/>
  <c r="A4087" i="1"/>
  <c r="G4087" i="1"/>
  <c r="H4087" i="1"/>
  <c r="I4087" i="1"/>
  <c r="J4087" i="1"/>
  <c r="K4087" i="1"/>
  <c r="M4087" i="1"/>
  <c r="A4314" i="1"/>
  <c r="G4314" i="1"/>
  <c r="H4314" i="1"/>
  <c r="I4314" i="1"/>
  <c r="J4314" i="1"/>
  <c r="K4314" i="1"/>
  <c r="M4314" i="1"/>
  <c r="A2699" i="1"/>
  <c r="G2699" i="1"/>
  <c r="H2699" i="1"/>
  <c r="I2699" i="1"/>
  <c r="J2699" i="1"/>
  <c r="A1792" i="1"/>
  <c r="G1792" i="1"/>
  <c r="H1792" i="1"/>
  <c r="I1792" i="1"/>
  <c r="J1792" i="1"/>
  <c r="M1792" i="1"/>
  <c r="A4088" i="1"/>
  <c r="G4088" i="1"/>
  <c r="H4088" i="1"/>
  <c r="I4088" i="1"/>
  <c r="J4088" i="1"/>
  <c r="K4088" i="1"/>
  <c r="M4088" i="1"/>
  <c r="A4089" i="1"/>
  <c r="G4089" i="1"/>
  <c r="H4089" i="1"/>
  <c r="I4089" i="1"/>
  <c r="J4089" i="1"/>
  <c r="K4089" i="1"/>
  <c r="M4089" i="1"/>
  <c r="A1793" i="1"/>
  <c r="G1793" i="1"/>
  <c r="H1793" i="1"/>
  <c r="I1793" i="1"/>
  <c r="J1793" i="1"/>
  <c r="K1793" i="1"/>
  <c r="M1793" i="1"/>
  <c r="A1794" i="1"/>
  <c r="G1794" i="1"/>
  <c r="H1794" i="1"/>
  <c r="I1794" i="1"/>
  <c r="J1794" i="1"/>
  <c r="K1794" i="1"/>
  <c r="M1794" i="1"/>
  <c r="A4090" i="1"/>
  <c r="G4090" i="1"/>
  <c r="H4090" i="1"/>
  <c r="I4090" i="1"/>
  <c r="J4090" i="1"/>
  <c r="A1795" i="1"/>
  <c r="G1795" i="1"/>
  <c r="H1795" i="1"/>
  <c r="I1795" i="1"/>
  <c r="J1795" i="1"/>
  <c r="K1795" i="1"/>
  <c r="M1795" i="1"/>
  <c r="A1796" i="1"/>
  <c r="G1796" i="1"/>
  <c r="H1796" i="1"/>
  <c r="I1796" i="1"/>
  <c r="J1796" i="1"/>
  <c r="K1796" i="1"/>
  <c r="M1796" i="1"/>
  <c r="A1797" i="1"/>
  <c r="G1797" i="1"/>
  <c r="H1797" i="1"/>
  <c r="I1797" i="1"/>
  <c r="J1797" i="1"/>
  <c r="K1797" i="1"/>
  <c r="M1797" i="1"/>
  <c r="A4091" i="1"/>
  <c r="G4091" i="1"/>
  <c r="H4091" i="1"/>
  <c r="I4091" i="1"/>
  <c r="J4091" i="1"/>
  <c r="K4091" i="1"/>
  <c r="M4091" i="1"/>
  <c r="A4590" i="1"/>
  <c r="G4590" i="1"/>
  <c r="H4590" i="1"/>
  <c r="I4590" i="1"/>
  <c r="J4590" i="1"/>
  <c r="K4590" i="1"/>
  <c r="M4590" i="1"/>
  <c r="A4092" i="1"/>
  <c r="G4092" i="1"/>
  <c r="H4092" i="1"/>
  <c r="I4092" i="1"/>
  <c r="J4092" i="1"/>
  <c r="A2700" i="1"/>
  <c r="G2700" i="1"/>
  <c r="H2700" i="1"/>
  <c r="I2700" i="1"/>
  <c r="J2700" i="1"/>
  <c r="K2700" i="1"/>
  <c r="M2700" i="1"/>
  <c r="A2701" i="1"/>
  <c r="G2701" i="1"/>
  <c r="H2701" i="1"/>
  <c r="I2701" i="1"/>
  <c r="J2701" i="1"/>
  <c r="K2701" i="1"/>
  <c r="M2701" i="1"/>
  <c r="A1798" i="1"/>
  <c r="G1798" i="1"/>
  <c r="H1798" i="1"/>
  <c r="I1798" i="1"/>
  <c r="J1798" i="1"/>
  <c r="K1798" i="1"/>
  <c r="M1798" i="1"/>
  <c r="A2702" i="1"/>
  <c r="G2702" i="1"/>
  <c r="H2702" i="1"/>
  <c r="I2702" i="1"/>
  <c r="J2702" i="1"/>
  <c r="A4093" i="1"/>
  <c r="G4093" i="1"/>
  <c r="H4093" i="1"/>
  <c r="I4093" i="1"/>
  <c r="J4093" i="1"/>
  <c r="K4093" i="1"/>
  <c r="M4093" i="1"/>
  <c r="A2703" i="1"/>
  <c r="G2703" i="1"/>
  <c r="H2703" i="1"/>
  <c r="I2703" i="1"/>
  <c r="J2703" i="1"/>
  <c r="K2703" i="1"/>
  <c r="M2703" i="1"/>
  <c r="A1799" i="1"/>
  <c r="G1799" i="1"/>
  <c r="H1799" i="1"/>
  <c r="I1799" i="1"/>
  <c r="J1799" i="1"/>
  <c r="K1799" i="1"/>
  <c r="M1799" i="1"/>
  <c r="A2704" i="1"/>
  <c r="G2704" i="1"/>
  <c r="H2704" i="1"/>
  <c r="I2704" i="1"/>
  <c r="J2704" i="1"/>
  <c r="K2704" i="1"/>
  <c r="M2704" i="1"/>
  <c r="A2705" i="1"/>
  <c r="G2705" i="1"/>
  <c r="H2705" i="1"/>
  <c r="I2705" i="1"/>
  <c r="J2705" i="1"/>
  <c r="K2705" i="1"/>
  <c r="M2705" i="1"/>
  <c r="A4094" i="1"/>
  <c r="G4094" i="1"/>
  <c r="H4094" i="1"/>
  <c r="I4094" i="1"/>
  <c r="J4094" i="1"/>
  <c r="A4095" i="1"/>
  <c r="G4095" i="1"/>
  <c r="H4095" i="1"/>
  <c r="I4095" i="1"/>
  <c r="J4095" i="1"/>
  <c r="K4095" i="1"/>
  <c r="M4095" i="1"/>
  <c r="A1800" i="1"/>
  <c r="G1800" i="1"/>
  <c r="H1800" i="1"/>
  <c r="I1800" i="1"/>
  <c r="J1800" i="1"/>
  <c r="K1800" i="1"/>
  <c r="M1800" i="1"/>
  <c r="A1801" i="1"/>
  <c r="G1801" i="1"/>
  <c r="H1801" i="1"/>
  <c r="I1801" i="1"/>
  <c r="J1801" i="1"/>
  <c r="K1801" i="1"/>
  <c r="M1801" i="1"/>
  <c r="A4096" i="1"/>
  <c r="G4096" i="1"/>
  <c r="H4096" i="1"/>
  <c r="I4096" i="1"/>
  <c r="J4096" i="1"/>
  <c r="K4096" i="1"/>
  <c r="M4096" i="1"/>
  <c r="A4097" i="1"/>
  <c r="G4097" i="1"/>
  <c r="H4097" i="1"/>
  <c r="I4097" i="1"/>
  <c r="J4097" i="1"/>
  <c r="K4097" i="1"/>
  <c r="M4097" i="1"/>
  <c r="A4098" i="1"/>
  <c r="G4098" i="1"/>
  <c r="H4098" i="1"/>
  <c r="I4098" i="1"/>
  <c r="J4098" i="1"/>
  <c r="K4098" i="1"/>
  <c r="M4098" i="1"/>
  <c r="A2827" i="1"/>
  <c r="G2827" i="1"/>
  <c r="H2827" i="1"/>
  <c r="I2827" i="1"/>
  <c r="J2827" i="1"/>
  <c r="K2827" i="1"/>
  <c r="M2827" i="1"/>
  <c r="A2706" i="1"/>
  <c r="G2706" i="1"/>
  <c r="H2706" i="1"/>
  <c r="I2706" i="1"/>
  <c r="J2706" i="1"/>
  <c r="A1802" i="1"/>
  <c r="G1802" i="1"/>
  <c r="H1802" i="1"/>
  <c r="I1802" i="1"/>
  <c r="J1802" i="1"/>
  <c r="K1802" i="1"/>
  <c r="M1802" i="1"/>
  <c r="A4591" i="1"/>
  <c r="G4591" i="1"/>
  <c r="H4591" i="1"/>
  <c r="I4591" i="1"/>
  <c r="J4591" i="1"/>
  <c r="K4591" i="1"/>
  <c r="M4591" i="1"/>
  <c r="A2707" i="1"/>
  <c r="G2707" i="1"/>
  <c r="H2707" i="1"/>
  <c r="I2707" i="1"/>
  <c r="J2707" i="1"/>
  <c r="A171" i="1"/>
  <c r="G171" i="1"/>
  <c r="H171" i="1"/>
  <c r="I171" i="1"/>
  <c r="J171" i="1"/>
  <c r="A1803" i="1"/>
  <c r="G1803" i="1"/>
  <c r="H1803" i="1"/>
  <c r="I1803" i="1"/>
  <c r="J1803" i="1"/>
  <c r="K1803" i="1"/>
  <c r="M1803" i="1"/>
  <c r="A4099" i="1"/>
  <c r="G4099" i="1"/>
  <c r="H4099" i="1"/>
  <c r="I4099" i="1"/>
  <c r="J4099" i="1"/>
  <c r="A4100" i="1"/>
  <c r="G4100" i="1"/>
  <c r="H4100" i="1"/>
  <c r="I4100" i="1"/>
  <c r="J4100" i="1"/>
  <c r="A1804" i="1"/>
  <c r="G1804" i="1"/>
  <c r="H1804" i="1"/>
  <c r="I1804" i="1"/>
  <c r="J1804" i="1"/>
  <c r="K1804" i="1"/>
  <c r="M1804" i="1"/>
  <c r="A4101" i="1"/>
  <c r="G4101" i="1"/>
  <c r="H4101" i="1"/>
  <c r="I4101" i="1"/>
  <c r="J4101" i="1"/>
  <c r="K4101" i="1"/>
  <c r="M4101" i="1"/>
  <c r="A4102" i="1"/>
  <c r="G4102" i="1"/>
  <c r="H4102" i="1"/>
  <c r="I4102" i="1"/>
  <c r="J4102" i="1"/>
  <c r="K4102" i="1"/>
  <c r="M4102" i="1"/>
  <c r="A1805" i="1"/>
  <c r="G1805" i="1"/>
  <c r="H1805" i="1"/>
  <c r="I1805" i="1"/>
  <c r="J1805" i="1"/>
  <c r="A4103" i="1"/>
  <c r="G4103" i="1"/>
  <c r="H4103" i="1"/>
  <c r="I4103" i="1"/>
  <c r="J4103" i="1"/>
  <c r="K4103" i="1"/>
  <c r="M4103" i="1"/>
  <c r="A1806" i="1"/>
  <c r="G1806" i="1"/>
  <c r="H1806" i="1"/>
  <c r="I1806" i="1"/>
  <c r="J1806" i="1"/>
  <c r="K1806" i="1"/>
  <c r="M1806" i="1"/>
  <c r="A1807" i="1"/>
  <c r="G1807" i="1"/>
  <c r="H1807" i="1"/>
  <c r="I1807" i="1"/>
  <c r="J1807" i="1"/>
  <c r="K1807" i="1"/>
  <c r="M1807" i="1"/>
  <c r="A1808" i="1"/>
  <c r="G1808" i="1"/>
  <c r="H1808" i="1"/>
  <c r="I1808" i="1"/>
  <c r="J1808" i="1"/>
  <c r="K1808" i="1"/>
  <c r="M1808" i="1"/>
  <c r="A4592" i="1"/>
  <c r="G4592" i="1"/>
  <c r="H4592" i="1"/>
  <c r="I4592" i="1"/>
  <c r="J4592" i="1"/>
  <c r="K4592" i="1"/>
  <c r="M4592" i="1"/>
  <c r="A1809" i="1"/>
  <c r="G1809" i="1"/>
  <c r="H1809" i="1"/>
  <c r="I1809" i="1"/>
  <c r="J1809" i="1"/>
  <c r="M1809" i="1"/>
  <c r="A1810" i="1"/>
  <c r="G1810" i="1"/>
  <c r="H1810" i="1"/>
  <c r="I1810" i="1"/>
  <c r="J1810" i="1"/>
  <c r="K1810" i="1"/>
  <c r="M1810" i="1"/>
  <c r="A4294" i="1"/>
  <c r="G4294" i="1"/>
  <c r="H4294" i="1"/>
  <c r="I4294" i="1"/>
  <c r="J4294" i="1"/>
  <c r="A1811" i="1"/>
  <c r="G1811" i="1"/>
  <c r="H1811" i="1"/>
  <c r="I1811" i="1"/>
  <c r="J1811" i="1"/>
  <c r="K1811" i="1"/>
  <c r="M1811" i="1"/>
  <c r="A2708" i="1"/>
  <c r="G2708" i="1"/>
  <c r="H2708" i="1"/>
  <c r="I2708" i="1"/>
  <c r="J2708" i="1"/>
  <c r="K2708" i="1"/>
  <c r="M2708" i="1"/>
  <c r="A2709" i="1"/>
  <c r="G2709" i="1"/>
  <c r="H2709" i="1"/>
  <c r="I2709" i="1"/>
  <c r="J2709" i="1"/>
  <c r="K2709" i="1"/>
  <c r="M2709" i="1"/>
  <c r="A2710" i="1"/>
  <c r="G2710" i="1"/>
  <c r="H2710" i="1"/>
  <c r="I2710" i="1"/>
  <c r="J2710" i="1"/>
  <c r="K2710" i="1"/>
  <c r="M2710" i="1"/>
  <c r="A2711" i="1"/>
  <c r="G2711" i="1"/>
  <c r="H2711" i="1"/>
  <c r="I2711" i="1"/>
  <c r="J2711" i="1"/>
  <c r="A172" i="1"/>
  <c r="G172" i="1"/>
  <c r="H172" i="1"/>
  <c r="I172" i="1"/>
  <c r="J172" i="1"/>
  <c r="K172" i="1"/>
  <c r="M172" i="1"/>
  <c r="A2712" i="1"/>
  <c r="G2712" i="1"/>
  <c r="H2712" i="1"/>
  <c r="I2712" i="1"/>
  <c r="J2712" i="1"/>
  <c r="M2712" i="1"/>
  <c r="A4104" i="1"/>
  <c r="G4104" i="1"/>
  <c r="H4104" i="1"/>
  <c r="I4104" i="1"/>
  <c r="J4104" i="1"/>
  <c r="K4104" i="1"/>
  <c r="M4104" i="1"/>
  <c r="A4105" i="1"/>
  <c r="G4105" i="1"/>
  <c r="H4105" i="1"/>
  <c r="I4105" i="1"/>
  <c r="J4105" i="1"/>
  <c r="K4105" i="1"/>
  <c r="M4105" i="1"/>
  <c r="A4106" i="1"/>
  <c r="G4106" i="1"/>
  <c r="H4106" i="1"/>
  <c r="I4106" i="1"/>
  <c r="J4106" i="1"/>
  <c r="K4106" i="1"/>
  <c r="M4106" i="1"/>
  <c r="A1812" i="1"/>
  <c r="G1812" i="1"/>
  <c r="H1812" i="1"/>
  <c r="I1812" i="1"/>
  <c r="J1812" i="1"/>
  <c r="M1812" i="1"/>
  <c r="A4775" i="1"/>
  <c r="G4775" i="1"/>
  <c r="H4775" i="1"/>
  <c r="I4775" i="1"/>
  <c r="J4775" i="1"/>
  <c r="M4775" i="1"/>
  <c r="A4295" i="1"/>
  <c r="G4295" i="1"/>
  <c r="H4295" i="1"/>
  <c r="I4295" i="1"/>
  <c r="J4295" i="1"/>
  <c r="K4295" i="1"/>
  <c r="M4295" i="1"/>
  <c r="A1813" i="1"/>
  <c r="G1813" i="1"/>
  <c r="H1813" i="1"/>
  <c r="I1813" i="1"/>
  <c r="J1813" i="1"/>
  <c r="K1813" i="1"/>
  <c r="M1813" i="1"/>
  <c r="A1814" i="1"/>
  <c r="G1814" i="1"/>
  <c r="H1814" i="1"/>
  <c r="I1814" i="1"/>
  <c r="J1814" i="1"/>
  <c r="K1814" i="1"/>
  <c r="M1814" i="1"/>
  <c r="A4593" i="1"/>
  <c r="G4593" i="1"/>
  <c r="H4593" i="1"/>
  <c r="I4593" i="1"/>
  <c r="J4593" i="1"/>
  <c r="K4593" i="1"/>
  <c r="M4593" i="1"/>
  <c r="A4107" i="1"/>
  <c r="G4107" i="1"/>
  <c r="H4107" i="1"/>
  <c r="I4107" i="1"/>
  <c r="J4107" i="1"/>
  <c r="A173" i="1"/>
  <c r="G173" i="1"/>
  <c r="H173" i="1"/>
  <c r="I173" i="1"/>
  <c r="J173" i="1"/>
  <c r="A4296" i="1"/>
  <c r="G4296" i="1"/>
  <c r="H4296" i="1"/>
  <c r="I4296" i="1"/>
  <c r="J4296" i="1"/>
  <c r="K4296" i="1"/>
  <c r="M4296" i="1"/>
  <c r="A2713" i="1"/>
  <c r="G2713" i="1"/>
  <c r="H2713" i="1"/>
  <c r="I2713" i="1"/>
  <c r="J2713" i="1"/>
  <c r="K2713" i="1"/>
  <c r="M2713" i="1"/>
  <c r="A1815" i="1"/>
  <c r="G1815" i="1"/>
  <c r="H1815" i="1"/>
  <c r="I1815" i="1"/>
  <c r="J1815" i="1"/>
  <c r="K1815" i="1"/>
  <c r="M1815" i="1"/>
  <c r="A2714" i="1"/>
  <c r="G2714" i="1"/>
  <c r="H2714" i="1"/>
  <c r="I2714" i="1"/>
  <c r="J2714" i="1"/>
  <c r="K2714" i="1"/>
  <c r="M2714" i="1"/>
  <c r="A2715" i="1"/>
  <c r="G2715" i="1"/>
  <c r="H2715" i="1"/>
  <c r="I2715" i="1"/>
  <c r="J2715" i="1"/>
  <c r="K2715" i="1"/>
  <c r="M2715" i="1"/>
  <c r="A2716" i="1"/>
  <c r="G2716" i="1"/>
  <c r="H2716" i="1"/>
  <c r="I2716" i="1"/>
  <c r="J2716" i="1"/>
  <c r="K2716" i="1"/>
  <c r="M2716" i="1"/>
  <c r="A2717" i="1"/>
  <c r="G2717" i="1"/>
  <c r="H2717" i="1"/>
  <c r="I2717" i="1"/>
  <c r="J2717" i="1"/>
  <c r="K2717" i="1"/>
  <c r="M2717" i="1"/>
  <c r="A1816" i="1"/>
  <c r="G1816" i="1"/>
  <c r="H1816" i="1"/>
  <c r="I1816" i="1"/>
  <c r="J1816" i="1"/>
  <c r="K1816" i="1"/>
  <c r="M1816" i="1"/>
  <c r="A4297" i="1"/>
  <c r="G4297" i="1"/>
  <c r="H4297" i="1"/>
  <c r="I4297" i="1"/>
  <c r="J4297" i="1"/>
  <c r="K4297" i="1"/>
  <c r="M4297" i="1"/>
  <c r="A2718" i="1"/>
  <c r="G2718" i="1"/>
  <c r="H2718" i="1"/>
  <c r="I2718" i="1"/>
  <c r="J2718" i="1"/>
  <c r="A4108" i="1"/>
  <c r="G4108" i="1"/>
  <c r="H4108" i="1"/>
  <c r="I4108" i="1"/>
  <c r="J4108" i="1"/>
  <c r="K4108" i="1"/>
  <c r="M4108" i="1"/>
  <c r="A1817" i="1"/>
  <c r="G1817" i="1"/>
  <c r="H1817" i="1"/>
  <c r="I1817" i="1"/>
  <c r="J1817" i="1"/>
  <c r="M1817" i="1"/>
  <c r="A1818" i="1"/>
  <c r="G1818" i="1"/>
  <c r="H1818" i="1"/>
  <c r="I1818" i="1"/>
  <c r="J1818" i="1"/>
  <c r="K1818" i="1"/>
  <c r="M1818" i="1"/>
  <c r="A4341" i="1"/>
  <c r="G4341" i="1"/>
  <c r="H4341" i="1"/>
  <c r="I4341" i="1"/>
  <c r="J4341" i="1"/>
  <c r="A2719" i="1"/>
  <c r="G2719" i="1"/>
  <c r="H2719" i="1"/>
  <c r="I2719" i="1"/>
  <c r="J2719" i="1"/>
  <c r="M2719" i="1"/>
  <c r="A2720" i="1"/>
  <c r="G2720" i="1"/>
  <c r="H2720" i="1"/>
  <c r="I2720" i="1"/>
  <c r="J2720" i="1"/>
  <c r="A1819" i="1"/>
  <c r="G1819" i="1"/>
  <c r="H1819" i="1"/>
  <c r="I1819" i="1"/>
  <c r="J1819" i="1"/>
  <c r="K1819" i="1"/>
  <c r="M1819" i="1"/>
  <c r="A2721" i="1"/>
  <c r="G2721" i="1"/>
  <c r="H2721" i="1"/>
  <c r="I2721" i="1"/>
  <c r="J2721" i="1"/>
  <c r="A1820" i="1"/>
  <c r="G1820" i="1"/>
  <c r="H1820" i="1"/>
  <c r="I1820" i="1"/>
  <c r="J1820" i="1"/>
  <c r="K1820" i="1"/>
  <c r="M1820" i="1"/>
  <c r="A2722" i="1"/>
  <c r="G2722" i="1"/>
  <c r="H2722" i="1"/>
  <c r="I2722" i="1"/>
  <c r="J2722" i="1"/>
  <c r="K2722" i="1"/>
  <c r="M2722" i="1"/>
  <c r="A2723" i="1"/>
  <c r="G2723" i="1"/>
  <c r="H2723" i="1"/>
  <c r="I2723" i="1"/>
  <c r="J2723" i="1"/>
  <c r="A4776" i="1"/>
  <c r="G4776" i="1"/>
  <c r="H4776" i="1"/>
  <c r="I4776" i="1"/>
  <c r="J4776" i="1"/>
  <c r="M4776" i="1"/>
  <c r="A4109" i="1"/>
  <c r="G4109" i="1"/>
  <c r="H4109" i="1"/>
  <c r="I4109" i="1"/>
  <c r="J4109" i="1"/>
  <c r="K4109" i="1"/>
  <c r="M4109" i="1"/>
  <c r="A2904" i="1"/>
  <c r="G2904" i="1"/>
  <c r="H2904" i="1"/>
  <c r="I2904" i="1"/>
  <c r="J2904" i="1"/>
  <c r="K2904" i="1"/>
  <c r="M2904" i="1"/>
  <c r="A4110" i="1"/>
  <c r="G4110" i="1"/>
  <c r="H4110" i="1"/>
  <c r="I4110" i="1"/>
  <c r="J4110" i="1"/>
  <c r="K4110" i="1"/>
  <c r="M4110" i="1"/>
  <c r="A1821" i="1"/>
  <c r="G1821" i="1"/>
  <c r="H1821" i="1"/>
  <c r="I1821" i="1"/>
  <c r="J1821" i="1"/>
  <c r="K1821" i="1"/>
  <c r="M1821" i="1"/>
  <c r="A4111" i="1"/>
  <c r="G4111" i="1"/>
  <c r="H4111" i="1"/>
  <c r="I4111" i="1"/>
  <c r="J4111" i="1"/>
  <c r="A4112" i="1"/>
  <c r="G4112" i="1"/>
  <c r="H4112" i="1"/>
  <c r="I4112" i="1"/>
  <c r="J4112" i="1"/>
  <c r="A4635" i="1"/>
  <c r="G4635" i="1"/>
  <c r="H4635" i="1"/>
  <c r="I4635" i="1"/>
  <c r="J4635" i="1"/>
  <c r="M4635" i="1"/>
  <c r="A4113" i="1"/>
  <c r="G4113" i="1"/>
  <c r="H4113" i="1"/>
  <c r="I4113" i="1"/>
  <c r="J4113" i="1"/>
  <c r="A1822" i="1"/>
  <c r="G1822" i="1"/>
  <c r="H1822" i="1"/>
  <c r="I1822" i="1"/>
  <c r="J1822" i="1"/>
  <c r="K1822" i="1"/>
  <c r="M1822" i="1"/>
  <c r="A2828" i="1"/>
  <c r="G2828" i="1"/>
  <c r="H2828" i="1"/>
  <c r="I2828" i="1"/>
  <c r="J2828" i="1"/>
  <c r="K2828" i="1"/>
  <c r="M2828" i="1"/>
  <c r="A1823" i="1"/>
  <c r="G1823" i="1"/>
  <c r="H1823" i="1"/>
  <c r="I1823" i="1"/>
  <c r="J1823" i="1"/>
  <c r="M1823" i="1"/>
  <c r="A2829" i="1"/>
  <c r="G2829" i="1"/>
  <c r="H2829" i="1"/>
  <c r="I2829" i="1"/>
  <c r="J2829" i="1"/>
  <c r="K2829" i="1"/>
  <c r="M2829" i="1"/>
  <c r="A4114" i="1"/>
  <c r="G4114" i="1"/>
  <c r="H4114" i="1"/>
  <c r="I4114" i="1"/>
  <c r="J4114" i="1"/>
  <c r="A1824" i="1"/>
  <c r="G1824" i="1"/>
  <c r="H1824" i="1"/>
  <c r="I1824" i="1"/>
  <c r="J1824" i="1"/>
  <c r="K1824" i="1"/>
  <c r="M1824" i="1"/>
  <c r="A1825" i="1"/>
  <c r="G1825" i="1"/>
  <c r="H1825" i="1"/>
  <c r="I1825" i="1"/>
  <c r="J1825" i="1"/>
  <c r="K1825" i="1"/>
  <c r="L1825" i="1"/>
  <c r="M1825" i="1"/>
  <c r="A4298" i="1"/>
  <c r="G4298" i="1"/>
  <c r="H4298" i="1"/>
  <c r="I4298" i="1"/>
  <c r="J4298" i="1"/>
  <c r="K4298" i="1"/>
  <c r="M4298" i="1"/>
  <c r="A1826" i="1"/>
  <c r="G1826" i="1"/>
  <c r="H1826" i="1"/>
  <c r="I1826" i="1"/>
  <c r="J1826" i="1"/>
  <c r="K1826" i="1"/>
  <c r="M1826" i="1"/>
  <c r="A1827" i="1"/>
  <c r="G1827" i="1"/>
  <c r="H1827" i="1"/>
  <c r="I1827" i="1"/>
  <c r="J1827" i="1"/>
  <c r="K1827" i="1"/>
  <c r="M1827" i="1"/>
  <c r="A4777" i="1"/>
  <c r="G4777" i="1"/>
  <c r="H4777" i="1"/>
  <c r="I4777" i="1"/>
  <c r="J4777" i="1"/>
  <c r="M4777" i="1"/>
  <c r="A1828" i="1"/>
  <c r="G1828" i="1"/>
  <c r="H1828" i="1"/>
  <c r="I1828" i="1"/>
  <c r="J1828" i="1"/>
  <c r="K1828" i="1"/>
  <c r="M1828" i="1"/>
  <c r="A2724" i="1"/>
  <c r="G2724" i="1"/>
  <c r="H2724" i="1"/>
  <c r="I2724" i="1"/>
  <c r="J2724" i="1"/>
  <c r="A4115" i="1"/>
  <c r="G4115" i="1"/>
  <c r="H4115" i="1"/>
  <c r="I4115" i="1"/>
  <c r="J4115" i="1"/>
  <c r="A1829" i="1"/>
  <c r="G1829" i="1"/>
  <c r="H1829" i="1"/>
  <c r="I1829" i="1"/>
  <c r="J1829" i="1"/>
  <c r="K1829" i="1"/>
  <c r="M1829" i="1"/>
  <c r="A1830" i="1"/>
  <c r="G1830" i="1"/>
  <c r="H1830" i="1"/>
  <c r="I1830" i="1"/>
  <c r="J1830" i="1"/>
  <c r="K1830" i="1"/>
  <c r="M1830" i="1"/>
  <c r="A174" i="1"/>
  <c r="G174" i="1"/>
  <c r="H174" i="1"/>
  <c r="I174" i="1"/>
  <c r="J174" i="1"/>
  <c r="A4116" i="1"/>
  <c r="G4116" i="1"/>
  <c r="H4116" i="1"/>
  <c r="I4116" i="1"/>
  <c r="J4116" i="1"/>
  <c r="K4116" i="1"/>
  <c r="M4116" i="1"/>
  <c r="A4117" i="1"/>
  <c r="G4117" i="1"/>
  <c r="H4117" i="1"/>
  <c r="I4117" i="1"/>
  <c r="J4117" i="1"/>
  <c r="K4117" i="1"/>
  <c r="M4117" i="1"/>
  <c r="A1831" i="1"/>
  <c r="G1831" i="1"/>
  <c r="H1831" i="1"/>
  <c r="I1831" i="1"/>
  <c r="J1831" i="1"/>
  <c r="M1831" i="1"/>
  <c r="A2905" i="1"/>
  <c r="G2905" i="1"/>
  <c r="H2905" i="1"/>
  <c r="I2905" i="1"/>
  <c r="J2905" i="1"/>
  <c r="K2905" i="1"/>
  <c r="M2905" i="1"/>
  <c r="A4178" i="1"/>
  <c r="G4178" i="1"/>
  <c r="H4178" i="1"/>
  <c r="I4178" i="1"/>
  <c r="J4178" i="1"/>
  <c r="K4178" i="1"/>
  <c r="M4178" i="1"/>
  <c r="A1832" i="1"/>
  <c r="G1832" i="1"/>
  <c r="H1832" i="1"/>
  <c r="I1832" i="1"/>
  <c r="J1832" i="1"/>
  <c r="K1832" i="1"/>
  <c r="M1832" i="1"/>
  <c r="A2830" i="1"/>
  <c r="G2830" i="1"/>
  <c r="H2830" i="1"/>
  <c r="I2830" i="1"/>
  <c r="J2830" i="1"/>
  <c r="K2830" i="1"/>
  <c r="M2830" i="1"/>
  <c r="A1833" i="1"/>
  <c r="G1833" i="1"/>
  <c r="H1833" i="1"/>
  <c r="I1833" i="1"/>
  <c r="J1833" i="1"/>
  <c r="K1833" i="1"/>
  <c r="M1833" i="1"/>
  <c r="A4118" i="1"/>
  <c r="G4118" i="1"/>
  <c r="H4118" i="1"/>
  <c r="I4118" i="1"/>
  <c r="J4118" i="1"/>
  <c r="K4118" i="1"/>
  <c r="M4118" i="1"/>
  <c r="A4594" i="1"/>
  <c r="G4594" i="1"/>
  <c r="H4594" i="1"/>
  <c r="I4594" i="1"/>
  <c r="J4594" i="1"/>
  <c r="K4594" i="1"/>
  <c r="M4594" i="1"/>
  <c r="A4119" i="1"/>
  <c r="G4119" i="1"/>
  <c r="H4119" i="1"/>
  <c r="I4119" i="1"/>
  <c r="J4119" i="1"/>
  <c r="A4120" i="1"/>
  <c r="G4120" i="1"/>
  <c r="H4120" i="1"/>
  <c r="I4120" i="1"/>
  <c r="J4120" i="1"/>
  <c r="A2725" i="1"/>
  <c r="G2725" i="1"/>
  <c r="H2725" i="1"/>
  <c r="I2725" i="1"/>
  <c r="J2725" i="1"/>
  <c r="K2725" i="1"/>
  <c r="M2725" i="1"/>
  <c r="A4299" i="1"/>
  <c r="G4299" i="1"/>
  <c r="H4299" i="1"/>
  <c r="I4299" i="1"/>
  <c r="J4299" i="1"/>
  <c r="A2726" i="1"/>
  <c r="G2726" i="1"/>
  <c r="H2726" i="1"/>
  <c r="I2726" i="1"/>
  <c r="J2726" i="1"/>
  <c r="A1834" i="1"/>
  <c r="G1834" i="1"/>
  <c r="H1834" i="1"/>
  <c r="I1834" i="1"/>
  <c r="J1834" i="1"/>
  <c r="K1834" i="1"/>
  <c r="M1834" i="1"/>
  <c r="A1835" i="1"/>
  <c r="G1835" i="1"/>
  <c r="H1835" i="1"/>
  <c r="I1835" i="1"/>
  <c r="J1835" i="1"/>
  <c r="A2727" i="1"/>
  <c r="G2727" i="1"/>
  <c r="H2727" i="1"/>
  <c r="I2727" i="1"/>
  <c r="J2727" i="1"/>
  <c r="A4121" i="1"/>
  <c r="G4121" i="1"/>
  <c r="H4121" i="1"/>
  <c r="I4121" i="1"/>
  <c r="J4121" i="1"/>
  <c r="K4121" i="1"/>
  <c r="M4121" i="1"/>
  <c r="A1836" i="1"/>
  <c r="G1836" i="1"/>
  <c r="H1836" i="1"/>
  <c r="I1836" i="1"/>
  <c r="J1836" i="1"/>
  <c r="K1836" i="1"/>
  <c r="M1836" i="1"/>
  <c r="A1837" i="1"/>
  <c r="G1837" i="1"/>
  <c r="H1837" i="1"/>
  <c r="I1837" i="1"/>
  <c r="J1837" i="1"/>
  <c r="K1837" i="1"/>
  <c r="M1837" i="1"/>
  <c r="A2728" i="1"/>
  <c r="G2728" i="1"/>
  <c r="H2728" i="1"/>
  <c r="I2728" i="1"/>
  <c r="J2728" i="1"/>
  <c r="K2728" i="1"/>
  <c r="M2728" i="1"/>
  <c r="A4122" i="1"/>
  <c r="G4122" i="1"/>
  <c r="H4122" i="1"/>
  <c r="I4122" i="1"/>
  <c r="J4122" i="1"/>
  <c r="A175" i="1"/>
  <c r="G175" i="1"/>
  <c r="H175" i="1"/>
  <c r="I175" i="1"/>
  <c r="J175" i="1"/>
  <c r="K175" i="1"/>
  <c r="M175" i="1"/>
  <c r="A4123" i="1"/>
  <c r="G4123" i="1"/>
  <c r="H4123" i="1"/>
  <c r="I4123" i="1"/>
  <c r="J4123" i="1"/>
  <c r="A4124" i="1"/>
  <c r="G4124" i="1"/>
  <c r="H4124" i="1"/>
  <c r="I4124" i="1"/>
  <c r="J4124" i="1"/>
  <c r="A4125" i="1"/>
  <c r="G4125" i="1"/>
  <c r="H4125" i="1"/>
  <c r="I4125" i="1"/>
  <c r="J4125" i="1"/>
  <c r="K4125" i="1"/>
  <c r="M4125" i="1"/>
  <c r="A1838" i="1"/>
  <c r="G1838" i="1"/>
  <c r="H1838" i="1"/>
  <c r="I1838" i="1"/>
  <c r="J1838" i="1"/>
  <c r="K1838" i="1"/>
  <c r="M1838" i="1"/>
  <c r="A4595" i="1"/>
  <c r="G4595" i="1"/>
  <c r="H4595" i="1"/>
  <c r="I4595" i="1"/>
  <c r="J4595" i="1"/>
  <c r="K4595" i="1"/>
  <c r="M4595" i="1"/>
  <c r="A2729" i="1"/>
  <c r="G2729" i="1"/>
  <c r="H2729" i="1"/>
  <c r="I2729" i="1"/>
  <c r="J2729" i="1"/>
  <c r="K2729" i="1"/>
  <c r="M2729" i="1"/>
  <c r="A1839" i="1"/>
  <c r="G1839" i="1"/>
  <c r="H1839" i="1"/>
  <c r="I1839" i="1"/>
  <c r="J1839" i="1"/>
  <c r="L1839" i="1"/>
  <c r="M1839" i="1"/>
  <c r="A4126" i="1"/>
  <c r="G4126" i="1"/>
  <c r="H4126" i="1"/>
  <c r="I4126" i="1"/>
  <c r="J4126" i="1"/>
  <c r="A4127" i="1"/>
  <c r="G4127" i="1"/>
  <c r="H4127" i="1"/>
  <c r="I4127" i="1"/>
  <c r="J4127" i="1"/>
  <c r="A4128" i="1"/>
  <c r="G4128" i="1"/>
  <c r="H4128" i="1"/>
  <c r="I4128" i="1"/>
  <c r="J4128" i="1"/>
  <c r="A4315" i="1"/>
  <c r="G4315" i="1"/>
  <c r="H4315" i="1"/>
  <c r="I4315" i="1"/>
  <c r="J4315" i="1"/>
  <c r="K4315" i="1"/>
  <c r="M4315" i="1"/>
  <c r="A4179" i="1"/>
  <c r="G4179" i="1"/>
  <c r="H4179" i="1"/>
  <c r="I4179" i="1"/>
  <c r="J4179" i="1"/>
  <c r="K4179" i="1"/>
  <c r="M4179" i="1"/>
  <c r="A1840" i="1"/>
  <c r="G1840" i="1"/>
  <c r="H1840" i="1"/>
  <c r="I1840" i="1"/>
  <c r="J1840" i="1"/>
  <c r="M1840" i="1"/>
  <c r="A4129" i="1"/>
  <c r="G4129" i="1"/>
  <c r="H4129" i="1"/>
  <c r="I4129" i="1"/>
  <c r="J4129" i="1"/>
  <c r="A1841" i="1"/>
  <c r="G1841" i="1"/>
  <c r="H1841" i="1"/>
  <c r="I1841" i="1"/>
  <c r="J1841" i="1"/>
  <c r="K1841" i="1"/>
  <c r="M1841" i="1"/>
  <c r="A1842" i="1"/>
  <c r="G1842" i="1"/>
  <c r="H1842" i="1"/>
  <c r="I1842" i="1"/>
  <c r="J1842" i="1"/>
  <c r="K1842" i="1"/>
  <c r="M1842" i="1"/>
  <c r="A2730" i="1"/>
  <c r="G2730" i="1"/>
  <c r="H2730" i="1"/>
  <c r="I2730" i="1"/>
  <c r="J2730" i="1"/>
  <c r="K2730" i="1"/>
  <c r="M2730" i="1"/>
  <c r="A2731" i="1"/>
  <c r="G2731" i="1"/>
  <c r="H2731" i="1"/>
  <c r="I2731" i="1"/>
  <c r="J2731" i="1"/>
  <c r="K2731" i="1"/>
  <c r="M2731" i="1"/>
  <c r="A4130" i="1"/>
  <c r="G4130" i="1"/>
  <c r="H4130" i="1"/>
  <c r="I4130" i="1"/>
  <c r="J4130" i="1"/>
  <c r="A4131" i="1"/>
  <c r="G4131" i="1"/>
  <c r="H4131" i="1"/>
  <c r="I4131" i="1"/>
  <c r="J4131" i="1"/>
  <c r="A1843" i="1"/>
  <c r="G1843" i="1"/>
  <c r="H1843" i="1"/>
  <c r="I1843" i="1"/>
  <c r="J1843" i="1"/>
  <c r="M1843" i="1"/>
  <c r="A2732" i="1"/>
  <c r="G2732" i="1"/>
  <c r="H2732" i="1"/>
  <c r="I2732" i="1"/>
  <c r="J2732" i="1"/>
  <c r="A2733" i="1"/>
  <c r="G2733" i="1"/>
  <c r="H2733" i="1"/>
  <c r="I2733" i="1"/>
  <c r="J2733" i="1"/>
  <c r="K2733" i="1"/>
  <c r="M2733" i="1"/>
  <c r="A1844" i="1"/>
  <c r="G1844" i="1"/>
  <c r="H1844" i="1"/>
  <c r="I1844" i="1"/>
  <c r="J1844" i="1"/>
  <c r="K1844" i="1"/>
  <c r="M1844" i="1"/>
  <c r="A2734" i="1"/>
  <c r="G2734" i="1"/>
  <c r="H2734" i="1"/>
  <c r="I2734" i="1"/>
  <c r="J2734" i="1"/>
  <c r="K2734" i="1"/>
  <c r="M2734" i="1"/>
  <c r="A4778" i="1"/>
  <c r="G4778" i="1"/>
  <c r="H4778" i="1"/>
  <c r="I4778" i="1"/>
  <c r="J4778" i="1"/>
  <c r="M4778" i="1"/>
  <c r="A2735" i="1"/>
  <c r="G2735" i="1"/>
  <c r="H2735" i="1"/>
  <c r="I2735" i="1"/>
  <c r="J2735" i="1"/>
  <c r="K2735" i="1"/>
  <c r="M2735" i="1"/>
  <c r="A1845" i="1"/>
  <c r="G1845" i="1"/>
  <c r="H1845" i="1"/>
  <c r="I1845" i="1"/>
  <c r="J1845" i="1"/>
  <c r="K1845" i="1"/>
  <c r="M1845" i="1"/>
  <c r="A4132" i="1"/>
  <c r="G4132" i="1"/>
  <c r="H4132" i="1"/>
  <c r="I4132" i="1"/>
  <c r="J4132" i="1"/>
  <c r="K4132" i="1"/>
  <c r="M4132" i="1"/>
  <c r="A1846" i="1"/>
  <c r="G1846" i="1"/>
  <c r="H1846" i="1"/>
  <c r="I1846" i="1"/>
  <c r="J1846" i="1"/>
  <c r="K1846" i="1"/>
  <c r="M1846" i="1"/>
  <c r="A2736" i="1"/>
  <c r="G2736" i="1"/>
  <c r="H2736" i="1"/>
  <c r="I2736" i="1"/>
  <c r="J2736" i="1"/>
  <c r="K2736" i="1"/>
  <c r="M2736" i="1"/>
  <c r="A4300" i="1"/>
  <c r="G4300" i="1"/>
  <c r="H4300" i="1"/>
  <c r="I4300" i="1"/>
  <c r="J4300" i="1"/>
  <c r="K4300" i="1"/>
  <c r="M4300" i="1"/>
  <c r="A2737" i="1"/>
  <c r="G2737" i="1"/>
  <c r="H2737" i="1"/>
  <c r="I2737" i="1"/>
  <c r="J2737" i="1"/>
  <c r="K2737" i="1"/>
  <c r="M2737" i="1"/>
  <c r="A4133" i="1"/>
  <c r="G4133" i="1"/>
  <c r="H4133" i="1"/>
  <c r="I4133" i="1"/>
  <c r="J4133" i="1"/>
  <c r="K4133" i="1"/>
  <c r="M4133" i="1"/>
  <c r="A1847" i="1"/>
  <c r="G1847" i="1"/>
  <c r="H1847" i="1"/>
  <c r="I1847" i="1"/>
  <c r="J1847" i="1"/>
  <c r="M1847" i="1"/>
  <c r="A4808" i="1"/>
  <c r="G4808" i="1"/>
  <c r="H4808" i="1"/>
  <c r="I4808" i="1"/>
  <c r="J4808" i="1"/>
  <c r="K4808" i="1"/>
  <c r="M4808" i="1"/>
  <c r="A2831" i="1"/>
  <c r="G2831" i="1"/>
  <c r="H2831" i="1"/>
  <c r="I2831" i="1"/>
  <c r="J2831" i="1"/>
  <c r="K2831" i="1"/>
  <c r="M2831" i="1"/>
  <c r="A1848" i="1"/>
  <c r="G1848" i="1"/>
  <c r="H1848" i="1"/>
  <c r="I1848" i="1"/>
  <c r="J1848" i="1"/>
  <c r="K1848" i="1"/>
  <c r="M1848" i="1"/>
  <c r="A1849" i="1"/>
  <c r="G1849" i="1"/>
  <c r="H1849" i="1"/>
  <c r="I1849" i="1"/>
  <c r="J1849" i="1"/>
  <c r="M1849" i="1"/>
  <c r="A1850" i="1"/>
  <c r="G1850" i="1"/>
  <c r="H1850" i="1"/>
  <c r="I1850" i="1"/>
  <c r="J1850" i="1"/>
  <c r="K1850" i="1"/>
  <c r="M1850" i="1"/>
  <c r="A4134" i="1"/>
  <c r="G4134" i="1"/>
  <c r="H4134" i="1"/>
  <c r="I4134" i="1"/>
  <c r="J4134" i="1"/>
  <c r="K4134" i="1"/>
  <c r="M4134" i="1"/>
  <c r="A4301" i="1"/>
  <c r="G4301" i="1"/>
  <c r="H4301" i="1"/>
  <c r="I4301" i="1"/>
  <c r="J4301" i="1"/>
  <c r="K4301" i="1"/>
  <c r="M4301" i="1"/>
  <c r="A176" i="1"/>
  <c r="G176" i="1"/>
  <c r="H176" i="1"/>
  <c r="I176" i="1"/>
  <c r="J176" i="1"/>
  <c r="M176" i="1"/>
  <c r="A1851" i="1"/>
  <c r="G1851" i="1"/>
  <c r="H1851" i="1"/>
  <c r="I1851" i="1"/>
  <c r="J1851" i="1"/>
  <c r="K1851" i="1"/>
  <c r="M1851" i="1"/>
  <c r="A4135" i="1"/>
  <c r="G4135" i="1"/>
  <c r="H4135" i="1"/>
  <c r="I4135" i="1"/>
  <c r="J4135" i="1"/>
  <c r="K4135" i="1"/>
  <c r="M4135" i="1"/>
  <c r="A2738" i="1"/>
  <c r="G2738" i="1"/>
  <c r="H2738" i="1"/>
  <c r="I2738" i="1"/>
  <c r="J2738" i="1"/>
  <c r="K2738" i="1"/>
  <c r="M2738" i="1"/>
  <c r="A1852" i="1"/>
  <c r="G1852" i="1"/>
  <c r="H1852" i="1"/>
  <c r="I1852" i="1"/>
  <c r="J1852" i="1"/>
  <c r="K1852" i="1"/>
  <c r="M1852" i="1"/>
  <c r="A1853" i="1"/>
  <c r="G1853" i="1"/>
  <c r="H1853" i="1"/>
  <c r="I1853" i="1"/>
  <c r="J1853" i="1"/>
  <c r="K1853" i="1"/>
  <c r="M1853" i="1"/>
  <c r="A1854" i="1"/>
  <c r="G1854" i="1"/>
  <c r="H1854" i="1"/>
  <c r="I1854" i="1"/>
  <c r="J1854" i="1"/>
  <c r="L1854" i="1"/>
  <c r="M1854" i="1"/>
  <c r="A4136" i="1"/>
  <c r="G4136" i="1"/>
  <c r="H4136" i="1"/>
  <c r="I4136" i="1"/>
  <c r="J4136" i="1"/>
  <c r="K4136" i="1"/>
  <c r="M4136" i="1"/>
  <c r="A1855" i="1"/>
  <c r="G1855" i="1"/>
  <c r="H1855" i="1"/>
  <c r="I1855" i="1"/>
  <c r="J1855" i="1"/>
  <c r="K1855" i="1"/>
  <c r="M1855" i="1"/>
  <c r="A2739" i="1"/>
  <c r="G2739" i="1"/>
  <c r="H2739" i="1"/>
  <c r="I2739" i="1"/>
  <c r="J2739" i="1"/>
  <c r="K2739" i="1"/>
  <c r="M2739" i="1"/>
  <c r="A4302" i="1"/>
  <c r="G4302" i="1"/>
  <c r="H4302" i="1"/>
  <c r="I4302" i="1"/>
  <c r="J4302" i="1"/>
  <c r="K4302" i="1"/>
  <c r="M4302" i="1"/>
  <c r="A1856" i="1"/>
  <c r="G1856" i="1"/>
  <c r="H1856" i="1"/>
  <c r="I1856" i="1"/>
  <c r="J1856" i="1"/>
  <c r="K1856" i="1"/>
  <c r="M1856" i="1"/>
  <c r="A2740" i="1"/>
  <c r="G2740" i="1"/>
  <c r="H2740" i="1"/>
  <c r="I2740" i="1"/>
  <c r="J2740" i="1"/>
  <c r="K2740" i="1"/>
  <c r="M2740" i="1"/>
  <c r="A177" i="1"/>
  <c r="G177" i="1"/>
  <c r="H177" i="1"/>
  <c r="I177" i="1"/>
  <c r="J177" i="1"/>
  <c r="A2741" i="1"/>
  <c r="G2741" i="1"/>
  <c r="H2741" i="1"/>
  <c r="I2741" i="1"/>
  <c r="J2741" i="1"/>
  <c r="A178" i="1"/>
  <c r="G178" i="1"/>
  <c r="H178" i="1"/>
  <c r="I178" i="1"/>
  <c r="J178" i="1"/>
  <c r="K178" i="1"/>
  <c r="M178" i="1"/>
  <c r="A179" i="1"/>
  <c r="G179" i="1"/>
  <c r="H179" i="1"/>
  <c r="I179" i="1"/>
  <c r="J179" i="1"/>
  <c r="K179" i="1"/>
  <c r="M179" i="1"/>
  <c r="A4137" i="1"/>
  <c r="G4137" i="1"/>
  <c r="H4137" i="1"/>
  <c r="I4137" i="1"/>
  <c r="J4137" i="1"/>
  <c r="K4137" i="1"/>
  <c r="M4137" i="1"/>
  <c r="A1857" i="1"/>
  <c r="G1857" i="1"/>
  <c r="H1857" i="1"/>
  <c r="I1857" i="1"/>
  <c r="J1857" i="1"/>
  <c r="K1857" i="1"/>
  <c r="M1857" i="1"/>
  <c r="A1858" i="1"/>
  <c r="G1858" i="1"/>
  <c r="H1858" i="1"/>
  <c r="I1858" i="1"/>
  <c r="J1858" i="1"/>
  <c r="K1858" i="1"/>
  <c r="M1858" i="1"/>
  <c r="A4138" i="1"/>
  <c r="G4138" i="1"/>
  <c r="H4138" i="1"/>
  <c r="I4138" i="1"/>
  <c r="J4138" i="1"/>
  <c r="A4139" i="1"/>
  <c r="G4139" i="1"/>
  <c r="H4139" i="1"/>
  <c r="I4139" i="1"/>
  <c r="J4139" i="1"/>
  <c r="K4139" i="1"/>
  <c r="M4139" i="1"/>
  <c r="A2742" i="1"/>
  <c r="G2742" i="1"/>
  <c r="H2742" i="1"/>
  <c r="I2742" i="1"/>
  <c r="J2742" i="1"/>
  <c r="K2742" i="1"/>
  <c r="M2742" i="1"/>
  <c r="A2743" i="1"/>
  <c r="G2743" i="1"/>
  <c r="H2743" i="1"/>
  <c r="I2743" i="1"/>
  <c r="J2743" i="1"/>
  <c r="K2743" i="1"/>
  <c r="M2743" i="1"/>
  <c r="A1859" i="1"/>
  <c r="G1859" i="1"/>
  <c r="H1859" i="1"/>
  <c r="I1859" i="1"/>
  <c r="J1859" i="1"/>
  <c r="M1859" i="1"/>
  <c r="A180" i="1"/>
  <c r="G180" i="1"/>
  <c r="H180" i="1"/>
  <c r="I180" i="1"/>
  <c r="J180" i="1"/>
  <c r="K180" i="1"/>
  <c r="M180" i="1"/>
  <c r="A1860" i="1"/>
  <c r="G1860" i="1"/>
  <c r="H1860" i="1"/>
  <c r="I1860" i="1"/>
  <c r="J1860" i="1"/>
  <c r="K1860" i="1"/>
  <c r="M1860" i="1"/>
  <c r="A1861" i="1"/>
  <c r="G1861" i="1"/>
  <c r="H1861" i="1"/>
  <c r="I1861" i="1"/>
  <c r="J1861" i="1"/>
  <c r="K1861" i="1"/>
  <c r="M1861" i="1"/>
  <c r="A181" i="1"/>
  <c r="G181" i="1"/>
  <c r="H181" i="1"/>
  <c r="I181" i="1"/>
  <c r="J181" i="1"/>
  <c r="K181" i="1"/>
  <c r="M181" i="1"/>
  <c r="A1862" i="1"/>
  <c r="G1862" i="1"/>
  <c r="H1862" i="1"/>
  <c r="I1862" i="1"/>
  <c r="J1862" i="1"/>
  <c r="K1862" i="1"/>
  <c r="M1862" i="1"/>
  <c r="A1863" i="1"/>
  <c r="G1863" i="1"/>
  <c r="H1863" i="1"/>
  <c r="I1863" i="1"/>
  <c r="J1863" i="1"/>
  <c r="K1863" i="1"/>
  <c r="M1863" i="1"/>
  <c r="A2744" i="1"/>
  <c r="G2744" i="1"/>
  <c r="H2744" i="1"/>
  <c r="I2744" i="1"/>
  <c r="J2744" i="1"/>
  <c r="K2744" i="1"/>
  <c r="M2744" i="1"/>
  <c r="A4140" i="1"/>
  <c r="G4140" i="1"/>
  <c r="H4140" i="1"/>
  <c r="I4140" i="1"/>
  <c r="J4140" i="1"/>
  <c r="A2745" i="1"/>
  <c r="G2745" i="1"/>
  <c r="H2745" i="1"/>
  <c r="I2745" i="1"/>
  <c r="J2745" i="1"/>
  <c r="A1864" i="1"/>
  <c r="G1864" i="1"/>
  <c r="H1864" i="1"/>
  <c r="I1864" i="1"/>
  <c r="J1864" i="1"/>
  <c r="K1864" i="1"/>
  <c r="M1864" i="1"/>
  <c r="A1865" i="1"/>
  <c r="G1865" i="1"/>
  <c r="H1865" i="1"/>
  <c r="I1865" i="1"/>
  <c r="J1865" i="1"/>
  <c r="K1865" i="1"/>
  <c r="M1865" i="1"/>
  <c r="A1866" i="1"/>
  <c r="G1866" i="1"/>
  <c r="H1866" i="1"/>
  <c r="I1866" i="1"/>
  <c r="J1866" i="1"/>
  <c r="K1866" i="1"/>
  <c r="M1866" i="1"/>
  <c r="A182" i="1"/>
  <c r="G182" i="1"/>
  <c r="H182" i="1"/>
  <c r="I182" i="1"/>
  <c r="J182" i="1"/>
  <c r="M182" i="1"/>
  <c r="A2746" i="1"/>
  <c r="G2746" i="1"/>
  <c r="H2746" i="1"/>
  <c r="I2746" i="1"/>
  <c r="J2746" i="1"/>
  <c r="A4779" i="1"/>
  <c r="G4779" i="1"/>
  <c r="H4779" i="1"/>
  <c r="I4779" i="1"/>
  <c r="J4779" i="1"/>
  <c r="M4779" i="1"/>
  <c r="A2906" i="1"/>
  <c r="G2906" i="1"/>
  <c r="H2906" i="1"/>
  <c r="I2906" i="1"/>
  <c r="J2906" i="1"/>
  <c r="K2906" i="1"/>
  <c r="M2906" i="1"/>
  <c r="A1867" i="1"/>
  <c r="G1867" i="1"/>
  <c r="H1867" i="1"/>
  <c r="I1867" i="1"/>
  <c r="J1867" i="1"/>
  <c r="L1867" i="1"/>
  <c r="M1867" i="1"/>
  <c r="A1868" i="1"/>
  <c r="G1868" i="1"/>
  <c r="H1868" i="1"/>
  <c r="I1868" i="1"/>
  <c r="J1868" i="1"/>
  <c r="K1868" i="1"/>
  <c r="M1868" i="1"/>
  <c r="A4303" i="1"/>
  <c r="G4303" i="1"/>
  <c r="H4303" i="1"/>
  <c r="I4303" i="1"/>
  <c r="J4303" i="1"/>
  <c r="K4303" i="1"/>
  <c r="M4303" i="1"/>
  <c r="A4141" i="1"/>
  <c r="G4141" i="1"/>
  <c r="H4141" i="1"/>
  <c r="I4141" i="1"/>
  <c r="J4141" i="1"/>
  <c r="A1869" i="1"/>
  <c r="G1869" i="1"/>
  <c r="H1869" i="1"/>
  <c r="I1869" i="1"/>
  <c r="J1869" i="1"/>
  <c r="K1869" i="1"/>
  <c r="M1869" i="1"/>
  <c r="A2747" i="1"/>
  <c r="G2747" i="1"/>
  <c r="H2747" i="1"/>
  <c r="I2747" i="1"/>
  <c r="J2747" i="1"/>
  <c r="K2747" i="1"/>
  <c r="M2747" i="1"/>
  <c r="A2748" i="1"/>
  <c r="G2748" i="1"/>
  <c r="H2748" i="1"/>
  <c r="I2748" i="1"/>
  <c r="J2748" i="1"/>
  <c r="K2748" i="1"/>
  <c r="M2748" i="1"/>
  <c r="A4342" i="1"/>
  <c r="G4342" i="1"/>
  <c r="H4342" i="1"/>
  <c r="I4342" i="1"/>
  <c r="J4342" i="1"/>
  <c r="A4142" i="1"/>
  <c r="G4142" i="1"/>
  <c r="H4142" i="1"/>
  <c r="I4142" i="1"/>
  <c r="J4142" i="1"/>
  <c r="K4142" i="1"/>
  <c r="M4142" i="1"/>
  <c r="A4316" i="1"/>
  <c r="G4316" i="1"/>
  <c r="H4316" i="1"/>
  <c r="I4316" i="1"/>
  <c r="J4316" i="1"/>
  <c r="A4143" i="1"/>
  <c r="G4143" i="1"/>
  <c r="H4143" i="1"/>
  <c r="I4143" i="1"/>
  <c r="J4143" i="1"/>
  <c r="K4143" i="1"/>
  <c r="M4143" i="1"/>
  <c r="A4629" i="1"/>
  <c r="G4629" i="1"/>
  <c r="H4629" i="1"/>
  <c r="I4629" i="1"/>
  <c r="J4629" i="1"/>
  <c r="A2749" i="1"/>
  <c r="G2749" i="1"/>
  <c r="H2749" i="1"/>
  <c r="I2749" i="1"/>
  <c r="J2749" i="1"/>
  <c r="K2749" i="1"/>
  <c r="M2749" i="1"/>
  <c r="A1870" i="1"/>
  <c r="G1870" i="1"/>
  <c r="H1870" i="1"/>
  <c r="I1870" i="1"/>
  <c r="J1870" i="1"/>
  <c r="K1870" i="1"/>
  <c r="M1870" i="1"/>
  <c r="A4144" i="1"/>
  <c r="G4144" i="1"/>
  <c r="H4144" i="1"/>
  <c r="I4144" i="1"/>
  <c r="J4144" i="1"/>
  <c r="K4144" i="1"/>
  <c r="M4144" i="1"/>
  <c r="A2750" i="1"/>
  <c r="G2750" i="1"/>
  <c r="H2750" i="1"/>
  <c r="I2750" i="1"/>
  <c r="J2750" i="1"/>
  <c r="K2750" i="1"/>
  <c r="M2750" i="1"/>
  <c r="A4780" i="1"/>
  <c r="G4780" i="1"/>
  <c r="H4780" i="1"/>
  <c r="I4780" i="1"/>
  <c r="J4780" i="1"/>
  <c r="M4780" i="1"/>
  <c r="A2907" i="1"/>
  <c r="G2907" i="1"/>
  <c r="H2907" i="1"/>
  <c r="I2907" i="1"/>
  <c r="J2907" i="1"/>
  <c r="K2907" i="1"/>
  <c r="M2907" i="1"/>
  <c r="A2751" i="1"/>
  <c r="G2751" i="1"/>
  <c r="H2751" i="1"/>
  <c r="I2751" i="1"/>
  <c r="J2751" i="1"/>
  <c r="K2751" i="1"/>
  <c r="M2751" i="1"/>
  <c r="A1871" i="1"/>
  <c r="G1871" i="1"/>
  <c r="H1871" i="1"/>
  <c r="I1871" i="1"/>
  <c r="J1871" i="1"/>
  <c r="M1871" i="1"/>
  <c r="A4145" i="1"/>
  <c r="G4145" i="1"/>
  <c r="H4145" i="1"/>
  <c r="I4145" i="1"/>
  <c r="J4145" i="1"/>
  <c r="A1872" i="1"/>
  <c r="G1872" i="1"/>
  <c r="H1872" i="1"/>
  <c r="I1872" i="1"/>
  <c r="J1872" i="1"/>
  <c r="L1872" i="1"/>
  <c r="M1872" i="1"/>
  <c r="A183" i="1"/>
  <c r="G183" i="1"/>
  <c r="H183" i="1"/>
  <c r="I183" i="1"/>
  <c r="J183" i="1"/>
  <c r="K183" i="1"/>
  <c r="M183" i="1"/>
  <c r="A1873" i="1"/>
  <c r="G1873" i="1"/>
  <c r="H1873" i="1"/>
  <c r="I1873" i="1"/>
  <c r="J1873" i="1"/>
  <c r="K1873" i="1"/>
  <c r="M1873" i="1"/>
  <c r="A2752" i="1"/>
  <c r="G2752" i="1"/>
  <c r="H2752" i="1"/>
  <c r="I2752" i="1"/>
  <c r="J2752" i="1"/>
  <c r="K2752" i="1"/>
  <c r="M2752" i="1"/>
</calcChain>
</file>

<file path=xl/sharedStrings.xml><?xml version="1.0" encoding="utf-8"?>
<sst xmlns="http://schemas.openxmlformats.org/spreadsheetml/2006/main" count="31281" uniqueCount="4075">
  <si>
    <t>sbi_num</t>
  </si>
  <si>
    <t>last_name</t>
  </si>
  <si>
    <t>first</t>
  </si>
  <si>
    <t>middle</t>
  </si>
  <si>
    <t>race</t>
  </si>
  <si>
    <t>sex</t>
  </si>
  <si>
    <t>lc</t>
  </si>
  <si>
    <t>sen_typ</t>
  </si>
  <si>
    <t>admit</t>
  </si>
  <si>
    <t>loc_adm_mth</t>
  </si>
  <si>
    <t>case_gt_exp</t>
  </si>
  <si>
    <t>parole_Elig</t>
  </si>
  <si>
    <t>case_sent</t>
  </si>
  <si>
    <t xml:space="preserve">ABBATIELLO       </t>
  </si>
  <si>
    <t xml:space="preserve">ANTHONY    </t>
  </si>
  <si>
    <t xml:space="preserve">A   </t>
  </si>
  <si>
    <t xml:space="preserve">W   </t>
  </si>
  <si>
    <t xml:space="preserve">M  </t>
  </si>
  <si>
    <t xml:space="preserve">        </t>
  </si>
  <si>
    <t xml:space="preserve">ABBOTT           </t>
  </si>
  <si>
    <t xml:space="preserve">CODY       </t>
  </si>
  <si>
    <t xml:space="preserve">D   </t>
  </si>
  <si>
    <t xml:space="preserve">RICHARD    </t>
  </si>
  <si>
    <t xml:space="preserve">ABDUL-WAHHAB     </t>
  </si>
  <si>
    <t xml:space="preserve">ALEEM      </t>
  </si>
  <si>
    <t xml:space="preserve">    </t>
  </si>
  <si>
    <t xml:space="preserve">B   </t>
  </si>
  <si>
    <t xml:space="preserve">ABDUL-WASI       </t>
  </si>
  <si>
    <t xml:space="preserve">YA SIN     </t>
  </si>
  <si>
    <t xml:space="preserve">ABDURRAQEEB      </t>
  </si>
  <si>
    <t xml:space="preserve">ABDULLAH   </t>
  </si>
  <si>
    <t xml:space="preserve">S   </t>
  </si>
  <si>
    <t xml:space="preserve">ABNER            </t>
  </si>
  <si>
    <t xml:space="preserve">TRACY      </t>
  </si>
  <si>
    <t xml:space="preserve">F  </t>
  </si>
  <si>
    <t xml:space="preserve">ABRAJAN-COBAXIN  </t>
  </si>
  <si>
    <t xml:space="preserve">JUAN       </t>
  </si>
  <si>
    <t xml:space="preserve">C   </t>
  </si>
  <si>
    <t xml:space="preserve">ABSHER           </t>
  </si>
  <si>
    <t xml:space="preserve">TINA       </t>
  </si>
  <si>
    <t xml:space="preserve">M   </t>
  </si>
  <si>
    <t xml:space="preserve">ACURIO-SUAREZ    </t>
  </si>
  <si>
    <t xml:space="preserve">MOISES     </t>
  </si>
  <si>
    <t xml:space="preserve">ADAM             </t>
  </si>
  <si>
    <t xml:space="preserve">BRIAN      </t>
  </si>
  <si>
    <t xml:space="preserve">E   </t>
  </si>
  <si>
    <t xml:space="preserve">ADAMS            </t>
  </si>
  <si>
    <t xml:space="preserve">H   </t>
  </si>
  <si>
    <t xml:space="preserve">DONALD     </t>
  </si>
  <si>
    <t xml:space="preserve">KENNETH    </t>
  </si>
  <si>
    <t xml:space="preserve">LOREN      </t>
  </si>
  <si>
    <t xml:space="preserve">L   </t>
  </si>
  <si>
    <t xml:space="preserve">TARRON     </t>
  </si>
  <si>
    <t xml:space="preserve">T   </t>
  </si>
  <si>
    <t xml:space="preserve">ADGER            </t>
  </si>
  <si>
    <t xml:space="preserve">ROBERT     </t>
  </si>
  <si>
    <t xml:space="preserve">ADKINS           </t>
  </si>
  <si>
    <t xml:space="preserve">GEMIYALE   </t>
  </si>
  <si>
    <t xml:space="preserve">JAQUAN     </t>
  </si>
  <si>
    <t xml:space="preserve">THOMAS     </t>
  </si>
  <si>
    <t xml:space="preserve">TIMOTHY    </t>
  </si>
  <si>
    <t xml:space="preserve">J   </t>
  </si>
  <si>
    <t xml:space="preserve">TYRONE     </t>
  </si>
  <si>
    <t xml:space="preserve">AGUILAR          </t>
  </si>
  <si>
    <t xml:space="preserve">WILSON     </t>
  </si>
  <si>
    <t xml:space="preserve">AGUILAR-HOLGUIN  </t>
  </si>
  <si>
    <t xml:space="preserve">JOSE       </t>
  </si>
  <si>
    <t xml:space="preserve">AHERN            </t>
  </si>
  <si>
    <t xml:space="preserve">CARL       </t>
  </si>
  <si>
    <t xml:space="preserve">AIKEN            </t>
  </si>
  <si>
    <t xml:space="preserve">DALLAS     </t>
  </si>
  <si>
    <t xml:space="preserve">DARNELL    </t>
  </si>
  <si>
    <t xml:space="preserve">KEVIN      </t>
  </si>
  <si>
    <t xml:space="preserve">P   </t>
  </si>
  <si>
    <t xml:space="preserve">MICHAEL    </t>
  </si>
  <si>
    <t xml:space="preserve">XAVIER     </t>
  </si>
  <si>
    <t xml:space="preserve">PATRICIA   </t>
  </si>
  <si>
    <t xml:space="preserve">Y   </t>
  </si>
  <si>
    <t xml:space="preserve">AIZUPITIS        </t>
  </si>
  <si>
    <t xml:space="preserve">VARIS      </t>
  </si>
  <si>
    <t xml:space="preserve">R   </t>
  </si>
  <si>
    <t xml:space="preserve">AKRAM            </t>
  </si>
  <si>
    <t xml:space="preserve">BILAL      </t>
  </si>
  <si>
    <t xml:space="preserve">SAEED      </t>
  </si>
  <si>
    <t xml:space="preserve">AL AMIN          </t>
  </si>
  <si>
    <t xml:space="preserve">JIAIRE     </t>
  </si>
  <si>
    <t xml:space="preserve">AL-MUWAHID       </t>
  </si>
  <si>
    <t xml:space="preserve">AL-RASUL         </t>
  </si>
  <si>
    <t xml:space="preserve">TYMIR      </t>
  </si>
  <si>
    <t xml:space="preserve">ALAMIN           </t>
  </si>
  <si>
    <t xml:space="preserve">AMIN       </t>
  </si>
  <si>
    <t xml:space="preserve">F   </t>
  </si>
  <si>
    <t xml:space="preserve">ALBERER          </t>
  </si>
  <si>
    <t xml:space="preserve">ALBERT           </t>
  </si>
  <si>
    <t xml:space="preserve">JAI        </t>
  </si>
  <si>
    <t xml:space="preserve">ALBURY           </t>
  </si>
  <si>
    <t xml:space="preserve">JAMES      </t>
  </si>
  <si>
    <t xml:space="preserve">K   </t>
  </si>
  <si>
    <t xml:space="preserve">ALEXANDER        </t>
  </si>
  <si>
    <t xml:space="preserve">JERMAINE   </t>
  </si>
  <si>
    <t xml:space="preserve">MACTAVISH  </t>
  </si>
  <si>
    <t xml:space="preserve">OMERE      </t>
  </si>
  <si>
    <t xml:space="preserve">TAVIUS     </t>
  </si>
  <si>
    <t xml:space="preserve">ALFARO           </t>
  </si>
  <si>
    <t xml:space="preserve">JESUS      </t>
  </si>
  <si>
    <t xml:space="preserve">ALI              </t>
  </si>
  <si>
    <t xml:space="preserve">TAARIQ     </t>
  </si>
  <si>
    <t xml:space="preserve">U   </t>
  </si>
  <si>
    <t xml:space="preserve">ALIAHMED         </t>
  </si>
  <si>
    <t xml:space="preserve">MOHAMAD    </t>
  </si>
  <si>
    <t xml:space="preserve">ALICEA           </t>
  </si>
  <si>
    <t xml:space="preserve">ALIJAJUANE       </t>
  </si>
  <si>
    <t xml:space="preserve">DUKER      </t>
  </si>
  <si>
    <t xml:space="preserve">Q   </t>
  </si>
  <si>
    <t xml:space="preserve">ALLEN            </t>
  </si>
  <si>
    <t xml:space="preserve">ANDREW     </t>
  </si>
  <si>
    <t xml:space="preserve">ASHLEY     </t>
  </si>
  <si>
    <t xml:space="preserve">BRYAN      </t>
  </si>
  <si>
    <t xml:space="preserve">CHARLES    </t>
  </si>
  <si>
    <t xml:space="preserve">DAMICHAEL  </t>
  </si>
  <si>
    <t xml:space="preserve">DANIEL     </t>
  </si>
  <si>
    <t xml:space="preserve">I   </t>
  </si>
  <si>
    <t xml:space="preserve">JEFFREY    </t>
  </si>
  <si>
    <t xml:space="preserve">NASCERE    </t>
  </si>
  <si>
    <t xml:space="preserve">SHAWN      </t>
  </si>
  <si>
    <t xml:space="preserve">STEVEN     </t>
  </si>
  <si>
    <t xml:space="preserve">TARA       </t>
  </si>
  <si>
    <t xml:space="preserve">TRAYVON    </t>
  </si>
  <si>
    <t xml:space="preserve">YUSEF      </t>
  </si>
  <si>
    <t xml:space="preserve">ALLISON          </t>
  </si>
  <si>
    <t xml:space="preserve">IDYLL      </t>
  </si>
  <si>
    <t xml:space="preserve">ALLMAN           </t>
  </si>
  <si>
    <t xml:space="preserve">ELIZABETH  </t>
  </si>
  <si>
    <t xml:space="preserve">PHILLIP    </t>
  </si>
  <si>
    <t xml:space="preserve">ALSTON           </t>
  </si>
  <si>
    <t xml:space="preserve">BRANDON    </t>
  </si>
  <si>
    <t xml:space="preserve">DAVID      </t>
  </si>
  <si>
    <t xml:space="preserve">SOMOYED    </t>
  </si>
  <si>
    <t xml:space="preserve">VERNON     </t>
  </si>
  <si>
    <t xml:space="preserve">ALTOE            </t>
  </si>
  <si>
    <t>CHRISTOPHER</t>
  </si>
  <si>
    <t xml:space="preserve">ALVAREZ          </t>
  </si>
  <si>
    <t xml:space="preserve">V   </t>
  </si>
  <si>
    <t xml:space="preserve">ALVEREST         </t>
  </si>
  <si>
    <t xml:space="preserve">KAREEM     </t>
  </si>
  <si>
    <t xml:space="preserve">ALVERSON         </t>
  </si>
  <si>
    <t xml:space="preserve">EUGENE     </t>
  </si>
  <si>
    <t xml:space="preserve">AMARO            </t>
  </si>
  <si>
    <t xml:space="preserve">ERIC       </t>
  </si>
  <si>
    <t xml:space="preserve">AMICK            </t>
  </si>
  <si>
    <t xml:space="preserve">PAUL       </t>
  </si>
  <si>
    <t xml:space="preserve">AMIN             </t>
  </si>
  <si>
    <t xml:space="preserve">ABDUL      </t>
  </si>
  <si>
    <t xml:space="preserve">ANDERSON         </t>
  </si>
  <si>
    <t xml:space="preserve">ANTOINE    </t>
  </si>
  <si>
    <t xml:space="preserve">CALVIN     </t>
  </si>
  <si>
    <t xml:space="preserve">DAMON      </t>
  </si>
  <si>
    <t xml:space="preserve">ELVIS      </t>
  </si>
  <si>
    <t xml:space="preserve">HAKIEM     </t>
  </si>
  <si>
    <t xml:space="preserve">HARRY      </t>
  </si>
  <si>
    <t xml:space="preserve">JAMEEL     </t>
  </si>
  <si>
    <t xml:space="preserve">KEENAN     </t>
  </si>
  <si>
    <t xml:space="preserve">LAMARR     </t>
  </si>
  <si>
    <t xml:space="preserve">LESTER     </t>
  </si>
  <si>
    <t xml:space="preserve">NATHANIEL  </t>
  </si>
  <si>
    <t xml:space="preserve">PETER      </t>
  </si>
  <si>
    <t xml:space="preserve">TRE'AVON   </t>
  </si>
  <si>
    <t xml:space="preserve">TYAIRE     </t>
  </si>
  <si>
    <t xml:space="preserve">TYREE      </t>
  </si>
  <si>
    <t xml:space="preserve">WILLIAM    </t>
  </si>
  <si>
    <t xml:space="preserve">ANDINO           </t>
  </si>
  <si>
    <t xml:space="preserve">ANDREWS          </t>
  </si>
  <si>
    <t xml:space="preserve">EDWIN      </t>
  </si>
  <si>
    <t xml:space="preserve">ANDRUS           </t>
  </si>
  <si>
    <t xml:space="preserve">DARYL      </t>
  </si>
  <si>
    <t xml:space="preserve">ANKER            </t>
  </si>
  <si>
    <t xml:space="preserve">JASON      </t>
  </si>
  <si>
    <t xml:space="preserve">ANTHONY          </t>
  </si>
  <si>
    <t xml:space="preserve">MARQUE     </t>
  </si>
  <si>
    <t xml:space="preserve">X   </t>
  </si>
  <si>
    <t xml:space="preserve">JAIME      </t>
  </si>
  <si>
    <t xml:space="preserve">STANLEY    </t>
  </si>
  <si>
    <t xml:space="preserve">O   </t>
  </si>
  <si>
    <t xml:space="preserve">APPIAH           </t>
  </si>
  <si>
    <t xml:space="preserve">ALEJANDRO  </t>
  </si>
  <si>
    <t xml:space="preserve">ARAMIZ-HERRERA   </t>
  </si>
  <si>
    <t xml:space="preserve">MIGUEL     </t>
  </si>
  <si>
    <t xml:space="preserve">ARBOLAY          </t>
  </si>
  <si>
    <t xml:space="preserve">ANGEL      </t>
  </si>
  <si>
    <t xml:space="preserve">FRANCISCO  </t>
  </si>
  <si>
    <t xml:space="preserve">ARCHY            </t>
  </si>
  <si>
    <t xml:space="preserve">AARON      </t>
  </si>
  <si>
    <t xml:space="preserve">ARES             </t>
  </si>
  <si>
    <t xml:space="preserve">ARGO             </t>
  </si>
  <si>
    <t xml:space="preserve">ARIAS            </t>
  </si>
  <si>
    <t xml:space="preserve">HEATHER    </t>
  </si>
  <si>
    <t xml:space="preserve">ARTIS            </t>
  </si>
  <si>
    <t xml:space="preserve">HENRY      </t>
  </si>
  <si>
    <t xml:space="preserve">AS-SALAFI        </t>
  </si>
  <si>
    <t>ABDUL-HAFID</t>
  </si>
  <si>
    <t xml:space="preserve">ASBERRY          </t>
  </si>
  <si>
    <t xml:space="preserve">LARRICE    </t>
  </si>
  <si>
    <t xml:space="preserve">ASBURY           </t>
  </si>
  <si>
    <t xml:space="preserve">ASHLAW           </t>
  </si>
  <si>
    <t xml:space="preserve">ASHLEY           </t>
  </si>
  <si>
    <t xml:space="preserve">IZIAH      </t>
  </si>
  <si>
    <t xml:space="preserve">ASSI             </t>
  </si>
  <si>
    <t xml:space="preserve">MOSES      </t>
  </si>
  <si>
    <t xml:space="preserve">ATKINS           </t>
  </si>
  <si>
    <t xml:space="preserve">TREYMEN    </t>
  </si>
  <si>
    <t xml:space="preserve">AUGUST           </t>
  </si>
  <si>
    <t xml:space="preserve">GABRIEL    </t>
  </si>
  <si>
    <t xml:space="preserve">AUGUSTINE        </t>
  </si>
  <si>
    <t xml:space="preserve">GREGORY    </t>
  </si>
  <si>
    <t xml:space="preserve">AUSTIN           </t>
  </si>
  <si>
    <t xml:space="preserve">N   </t>
  </si>
  <si>
    <t xml:space="preserve">JADEN      </t>
  </si>
  <si>
    <t xml:space="preserve">AVILA            </t>
  </si>
  <si>
    <t xml:space="preserve">CARLOS     </t>
  </si>
  <si>
    <t xml:space="preserve">KELVIN     </t>
  </si>
  <si>
    <t xml:space="preserve">AVILES           </t>
  </si>
  <si>
    <t xml:space="preserve">AWOMOKORIE       </t>
  </si>
  <si>
    <t xml:space="preserve">NNAMDI     </t>
  </si>
  <si>
    <t xml:space="preserve">AYALA            </t>
  </si>
  <si>
    <t xml:space="preserve">ISMEAL     </t>
  </si>
  <si>
    <t xml:space="preserve">JAVIER     </t>
  </si>
  <si>
    <t xml:space="preserve">AYERS            </t>
  </si>
  <si>
    <t xml:space="preserve">DEVAUGHN   </t>
  </si>
  <si>
    <t xml:space="preserve">ELMER      </t>
  </si>
  <si>
    <t xml:space="preserve">JAPREE     </t>
  </si>
  <si>
    <t xml:space="preserve">JARREAU    </t>
  </si>
  <si>
    <t xml:space="preserve">BACKUS           </t>
  </si>
  <si>
    <t xml:space="preserve">ALEXANDER  </t>
  </si>
  <si>
    <t xml:space="preserve">MAURICE    </t>
  </si>
  <si>
    <t xml:space="preserve">BACON            </t>
  </si>
  <si>
    <t xml:space="preserve">CHRIS      </t>
  </si>
  <si>
    <t xml:space="preserve">DEVEAR     </t>
  </si>
  <si>
    <t xml:space="preserve">DION       </t>
  </si>
  <si>
    <t xml:space="preserve">BAEZ             </t>
  </si>
  <si>
    <t xml:space="preserve">BAGWELL          </t>
  </si>
  <si>
    <t xml:space="preserve">BAHLOULI         </t>
  </si>
  <si>
    <t xml:space="preserve">SAHEED     </t>
  </si>
  <si>
    <t xml:space="preserve">BAILEY           </t>
  </si>
  <si>
    <t xml:space="preserve">AHMIR      </t>
  </si>
  <si>
    <t xml:space="preserve">ANTONIO    </t>
  </si>
  <si>
    <t xml:space="preserve">CORNELL    </t>
  </si>
  <si>
    <t xml:space="preserve">GEORGE     </t>
  </si>
  <si>
    <t xml:space="preserve">JULIE      </t>
  </si>
  <si>
    <t xml:space="preserve">LARRY      </t>
  </si>
  <si>
    <t xml:space="preserve">LAWRENCE   </t>
  </si>
  <si>
    <t xml:space="preserve">MARCUS     </t>
  </si>
  <si>
    <t xml:space="preserve">MARVIN     </t>
  </si>
  <si>
    <t xml:space="preserve">SIRAIR     </t>
  </si>
  <si>
    <t xml:space="preserve">TRAYLON    </t>
  </si>
  <si>
    <t xml:space="preserve">TREVOR     </t>
  </si>
  <si>
    <t xml:space="preserve">BAINE            </t>
  </si>
  <si>
    <t xml:space="preserve">FENEL      </t>
  </si>
  <si>
    <t xml:space="preserve">BAINES           </t>
  </si>
  <si>
    <t xml:space="preserve">DENNIS     </t>
  </si>
  <si>
    <t xml:space="preserve">TAVON      </t>
  </si>
  <si>
    <t xml:space="preserve">BAIRD            </t>
  </si>
  <si>
    <t xml:space="preserve">ISAIAH     </t>
  </si>
  <si>
    <t xml:space="preserve">BAKER            </t>
  </si>
  <si>
    <t xml:space="preserve">BEVERLY    </t>
  </si>
  <si>
    <t xml:space="preserve">JAMIE      </t>
  </si>
  <si>
    <t xml:space="preserve">MERIYA     </t>
  </si>
  <si>
    <t xml:space="preserve">SAMIR      </t>
  </si>
  <si>
    <t xml:space="preserve">VINCENT    </t>
  </si>
  <si>
    <t xml:space="preserve">BALDWIN          </t>
  </si>
  <si>
    <t xml:space="preserve">JUSTIN     </t>
  </si>
  <si>
    <t xml:space="preserve">KENNY'AUN  </t>
  </si>
  <si>
    <t xml:space="preserve">BALKE            </t>
  </si>
  <si>
    <t xml:space="preserve">AUSTIN     </t>
  </si>
  <si>
    <t xml:space="preserve">BALOCK           </t>
  </si>
  <si>
    <t xml:space="preserve">BALTIMORE        </t>
  </si>
  <si>
    <t xml:space="preserve">KAYE       </t>
  </si>
  <si>
    <t xml:space="preserve">BANKS            </t>
  </si>
  <si>
    <t xml:space="preserve">ANGELIQUE  </t>
  </si>
  <si>
    <t xml:space="preserve">ANTWINE    </t>
  </si>
  <si>
    <t xml:space="preserve">CHAR'QUAN  </t>
  </si>
  <si>
    <t xml:space="preserve">DONTE      </t>
  </si>
  <si>
    <t xml:space="preserve">EARL       </t>
  </si>
  <si>
    <t xml:space="preserve">MESSIAH    </t>
  </si>
  <si>
    <t xml:space="preserve">ORLANDO    </t>
  </si>
  <si>
    <t xml:space="preserve">SANTOS     </t>
  </si>
  <si>
    <t xml:space="preserve">SHELDON    </t>
  </si>
  <si>
    <t xml:space="preserve">SIONNE     </t>
  </si>
  <si>
    <t xml:space="preserve">BANTHER          </t>
  </si>
  <si>
    <t xml:space="preserve">BRUCE      </t>
  </si>
  <si>
    <t xml:space="preserve">BAPTISE          </t>
  </si>
  <si>
    <t xml:space="preserve">TWO        </t>
  </si>
  <si>
    <t xml:space="preserve">BARBARY          </t>
  </si>
  <si>
    <t xml:space="preserve">KATRELL    </t>
  </si>
  <si>
    <t xml:space="preserve">BARBEN           </t>
  </si>
  <si>
    <t xml:space="preserve">SHANNON    </t>
  </si>
  <si>
    <t xml:space="preserve">BARBER           </t>
  </si>
  <si>
    <t xml:space="preserve">EQUAN      </t>
  </si>
  <si>
    <t xml:space="preserve">BARCLAY          </t>
  </si>
  <si>
    <t xml:space="preserve">DARKPANAH  </t>
  </si>
  <si>
    <t xml:space="preserve">BARGER           </t>
  </si>
  <si>
    <t xml:space="preserve">BARKSDALE        </t>
  </si>
  <si>
    <t xml:space="preserve">BARLOW           </t>
  </si>
  <si>
    <t xml:space="preserve">COREY      </t>
  </si>
  <si>
    <t xml:space="preserve">BARNES           </t>
  </si>
  <si>
    <t xml:space="preserve">OLIVER     </t>
  </si>
  <si>
    <t xml:space="preserve">BARNETT          </t>
  </si>
  <si>
    <t xml:space="preserve">SARAH      </t>
  </si>
  <si>
    <t xml:space="preserve">BARNHARD         </t>
  </si>
  <si>
    <t xml:space="preserve">JOHN       </t>
  </si>
  <si>
    <t xml:space="preserve">BARNHILL         </t>
  </si>
  <si>
    <t xml:space="preserve">BARR             </t>
  </si>
  <si>
    <t xml:space="preserve">BARRALL          </t>
  </si>
  <si>
    <t xml:space="preserve">BARRETT          </t>
  </si>
  <si>
    <t xml:space="preserve">DOUGLAS    </t>
  </si>
  <si>
    <t xml:space="preserve">BARRON           </t>
  </si>
  <si>
    <t xml:space="preserve">BARROW           </t>
  </si>
  <si>
    <t xml:space="preserve">HECTOR     </t>
  </si>
  <si>
    <t xml:space="preserve">BARRY            </t>
  </si>
  <si>
    <t xml:space="preserve">JOSIAH     </t>
  </si>
  <si>
    <t xml:space="preserve">BARTELL          </t>
  </si>
  <si>
    <t xml:space="preserve">MARK       </t>
  </si>
  <si>
    <t xml:space="preserve">BARTHOLOMEW      </t>
  </si>
  <si>
    <t xml:space="preserve">WESLEY     </t>
  </si>
  <si>
    <t xml:space="preserve">BARTLEY          </t>
  </si>
  <si>
    <t xml:space="preserve">BARTOW           </t>
  </si>
  <si>
    <t xml:space="preserve">SCOTT      </t>
  </si>
  <si>
    <t xml:space="preserve">BASHER           </t>
  </si>
  <si>
    <t xml:space="preserve">JOSEPH     </t>
  </si>
  <si>
    <t xml:space="preserve">BASNIGHT         </t>
  </si>
  <si>
    <t xml:space="preserve">DEREK      </t>
  </si>
  <si>
    <t xml:space="preserve">BASS             </t>
  </si>
  <si>
    <t xml:space="preserve">ALAN       </t>
  </si>
  <si>
    <t xml:space="preserve">BASSETT          </t>
  </si>
  <si>
    <t xml:space="preserve">EDWARD     </t>
  </si>
  <si>
    <t xml:space="preserve">BASTIDA          </t>
  </si>
  <si>
    <t xml:space="preserve">BATEMAN          </t>
  </si>
  <si>
    <t xml:space="preserve">ADRIAN     </t>
  </si>
  <si>
    <t xml:space="preserve">BATES            </t>
  </si>
  <si>
    <t xml:space="preserve">BATSON           </t>
  </si>
  <si>
    <t xml:space="preserve">STEONTE    </t>
  </si>
  <si>
    <t xml:space="preserve">BATTINIERI       </t>
  </si>
  <si>
    <t xml:space="preserve">BATTLE           </t>
  </si>
  <si>
    <t xml:space="preserve">WALTER     </t>
  </si>
  <si>
    <t xml:space="preserve">BAUTISA-GONZALEZ </t>
  </si>
  <si>
    <t xml:space="preserve">BAUTISTA         </t>
  </si>
  <si>
    <t xml:space="preserve">BAUTISTA-TAX     </t>
  </si>
  <si>
    <t xml:space="preserve">LUIS       </t>
  </si>
  <si>
    <t xml:space="preserve">BAXTER           </t>
  </si>
  <si>
    <t xml:space="preserve">MATTHEW    </t>
  </si>
  <si>
    <t xml:space="preserve">BAYARD           </t>
  </si>
  <si>
    <t xml:space="preserve">BAYNARD          </t>
  </si>
  <si>
    <t xml:space="preserve">ARION      </t>
  </si>
  <si>
    <t xml:space="preserve">DINZEL     </t>
  </si>
  <si>
    <t xml:space="preserve">KEITH      </t>
  </si>
  <si>
    <t xml:space="preserve">KYAIR      </t>
  </si>
  <si>
    <t xml:space="preserve">BAYNES           </t>
  </si>
  <si>
    <t xml:space="preserve">ABEDNEGO   </t>
  </si>
  <si>
    <t xml:space="preserve">BEAL             </t>
  </si>
  <si>
    <t xml:space="preserve">RONALD     </t>
  </si>
  <si>
    <t xml:space="preserve">BEASLEY          </t>
  </si>
  <si>
    <t xml:space="preserve">TAJE       </t>
  </si>
  <si>
    <t xml:space="preserve">BEAUFORD         </t>
  </si>
  <si>
    <t xml:space="preserve">GARRY      </t>
  </si>
  <si>
    <t xml:space="preserve">BECERRA          </t>
  </si>
  <si>
    <t xml:space="preserve">DOMINGO    </t>
  </si>
  <si>
    <t xml:space="preserve">BECK             </t>
  </si>
  <si>
    <t xml:space="preserve">BECKER           </t>
  </si>
  <si>
    <t xml:space="preserve">NORMAN     </t>
  </si>
  <si>
    <t xml:space="preserve">BECKETT          </t>
  </si>
  <si>
    <t xml:space="preserve">CRAIG      </t>
  </si>
  <si>
    <t xml:space="preserve">TYSON      </t>
  </si>
  <si>
    <t xml:space="preserve">BECKFORD         </t>
  </si>
  <si>
    <t xml:space="preserve">EVERTON    </t>
  </si>
  <si>
    <t xml:space="preserve">BECKWITH         </t>
  </si>
  <si>
    <t xml:space="preserve">BEDNASH          </t>
  </si>
  <si>
    <t xml:space="preserve">BEDOLLA-CAMPOS   </t>
  </si>
  <si>
    <t xml:space="preserve">NORMA      </t>
  </si>
  <si>
    <t xml:space="preserve">BEEKS            </t>
  </si>
  <si>
    <t xml:space="preserve">JABARI     </t>
  </si>
  <si>
    <t xml:space="preserve">BEENE            </t>
  </si>
  <si>
    <t xml:space="preserve">BELAIR           </t>
  </si>
  <si>
    <t xml:space="preserve">BELFIELD         </t>
  </si>
  <si>
    <t xml:space="preserve">SHERWOOD   </t>
  </si>
  <si>
    <t xml:space="preserve">BELL             </t>
  </si>
  <si>
    <t xml:space="preserve">DUSTIN     </t>
  </si>
  <si>
    <t xml:space="preserve">JONATHAN   </t>
  </si>
  <si>
    <t xml:space="preserve">BELONG           </t>
  </si>
  <si>
    <t xml:space="preserve">STEFONE    </t>
  </si>
  <si>
    <t xml:space="preserve">BELTRAN          </t>
  </si>
  <si>
    <t xml:space="preserve">BENDER           </t>
  </si>
  <si>
    <t xml:space="preserve">BENJAMIN         </t>
  </si>
  <si>
    <t xml:space="preserve">KALVIN     </t>
  </si>
  <si>
    <t xml:space="preserve">BENNER           </t>
  </si>
  <si>
    <t xml:space="preserve">BENNETT          </t>
  </si>
  <si>
    <t xml:space="preserve">DEANDRE    </t>
  </si>
  <si>
    <t xml:space="preserve">DONNIE     </t>
  </si>
  <si>
    <t xml:space="preserve">BENSON           </t>
  </si>
  <si>
    <t xml:space="preserve">JEREMY     </t>
  </si>
  <si>
    <t xml:space="preserve">JOSHUA     </t>
  </si>
  <si>
    <t xml:space="preserve">KARI       </t>
  </si>
  <si>
    <t xml:space="preserve">MALIKA     </t>
  </si>
  <si>
    <t xml:space="preserve">SIRRON     </t>
  </si>
  <si>
    <t xml:space="preserve">TERRENCE   </t>
  </si>
  <si>
    <t xml:space="preserve">BENTON           </t>
  </si>
  <si>
    <t xml:space="preserve">DANNY      </t>
  </si>
  <si>
    <t xml:space="preserve">BENTZEL          </t>
  </si>
  <si>
    <t xml:space="preserve">BERRY            </t>
  </si>
  <si>
    <t xml:space="preserve">DYMERE     </t>
  </si>
  <si>
    <t xml:space="preserve">LEROY      </t>
  </si>
  <si>
    <t xml:space="preserve">SHAHEED    </t>
  </si>
  <si>
    <t xml:space="preserve">TERRACE    </t>
  </si>
  <si>
    <t xml:space="preserve">TYQUAN     </t>
  </si>
  <si>
    <t xml:space="preserve">BERWICK          </t>
  </si>
  <si>
    <t xml:space="preserve">BEST             </t>
  </si>
  <si>
    <t xml:space="preserve">BARRY      </t>
  </si>
  <si>
    <t xml:space="preserve">CASEY      </t>
  </si>
  <si>
    <t xml:space="preserve">BETHEA           </t>
  </si>
  <si>
    <t xml:space="preserve">DARIEN     </t>
  </si>
  <si>
    <t xml:space="preserve">BETTS            </t>
  </si>
  <si>
    <t xml:space="preserve">BEULAH           </t>
  </si>
  <si>
    <t xml:space="preserve">DARONCE    </t>
  </si>
  <si>
    <t xml:space="preserve">BEY              </t>
  </si>
  <si>
    <t xml:space="preserve">LEO        </t>
  </si>
  <si>
    <t xml:space="preserve">MALCOM     </t>
  </si>
  <si>
    <t xml:space="preserve">NYERERE    </t>
  </si>
  <si>
    <t xml:space="preserve">BEYER            </t>
  </si>
  <si>
    <t xml:space="preserve">BENJAMIN   </t>
  </si>
  <si>
    <t xml:space="preserve">BEZAREZ          </t>
  </si>
  <si>
    <t xml:space="preserve">BIBLE            </t>
  </si>
  <si>
    <t xml:space="preserve">BIDDLE           </t>
  </si>
  <si>
    <t xml:space="preserve">JAMIL      </t>
  </si>
  <si>
    <t xml:space="preserve">BIERCE           </t>
  </si>
  <si>
    <t xml:space="preserve">FREDDIE    </t>
  </si>
  <si>
    <t>T3472885</t>
  </si>
  <si>
    <t xml:space="preserve">BIGGER           </t>
  </si>
  <si>
    <t xml:space="preserve">BIGGINS          </t>
  </si>
  <si>
    <t xml:space="preserve">BINAIRD          </t>
  </si>
  <si>
    <t xml:space="preserve">ANDRE      </t>
  </si>
  <si>
    <t xml:space="preserve">BINGHAM          </t>
  </si>
  <si>
    <t xml:space="preserve">SHAUN      </t>
  </si>
  <si>
    <t xml:space="preserve">BIROWSKI         </t>
  </si>
  <si>
    <t xml:space="preserve">BISHOP           </t>
  </si>
  <si>
    <t xml:space="preserve">SAMUEL     </t>
  </si>
  <si>
    <t xml:space="preserve">BISSOON          </t>
  </si>
  <si>
    <t xml:space="preserve">HAROLD     </t>
  </si>
  <si>
    <t xml:space="preserve">BIVENS           </t>
  </si>
  <si>
    <t xml:space="preserve">DARRELL    </t>
  </si>
  <si>
    <t xml:space="preserve">JACK       </t>
  </si>
  <si>
    <t xml:space="preserve">BLACK            </t>
  </si>
  <si>
    <t xml:space="preserve">DEON       </t>
  </si>
  <si>
    <t xml:space="preserve">HAKEEM     </t>
  </si>
  <si>
    <t xml:space="preserve">JOHNATHAN  </t>
  </si>
  <si>
    <t xml:space="preserve">SHAKUR     </t>
  </si>
  <si>
    <t xml:space="preserve">BLACKBURN        </t>
  </si>
  <si>
    <t xml:space="preserve">BLACKMAN         </t>
  </si>
  <si>
    <t xml:space="preserve">THADDEUS   </t>
  </si>
  <si>
    <t xml:space="preserve">G   </t>
  </si>
  <si>
    <t xml:space="preserve">BLACKSHEAR       </t>
  </si>
  <si>
    <t xml:space="preserve">EDJUAN     </t>
  </si>
  <si>
    <t xml:space="preserve">BLACKWELL        </t>
  </si>
  <si>
    <t xml:space="preserve">MARQUES    </t>
  </si>
  <si>
    <t xml:space="preserve">BLACKWOOD        </t>
  </si>
  <si>
    <t xml:space="preserve">GLENFORD   </t>
  </si>
  <si>
    <t xml:space="preserve">BLAIN            </t>
  </si>
  <si>
    <t xml:space="preserve">BLAKE            </t>
  </si>
  <si>
    <t xml:space="preserve">TYREEK     </t>
  </si>
  <si>
    <t xml:space="preserve">BLAKEMAN         </t>
  </si>
  <si>
    <t xml:space="preserve">BLALOCK          </t>
  </si>
  <si>
    <t xml:space="preserve">KAREL      </t>
  </si>
  <si>
    <t xml:space="preserve">BLANCHFIELD      </t>
  </si>
  <si>
    <t xml:space="preserve">BLANCO           </t>
  </si>
  <si>
    <t xml:space="preserve">JERRY      </t>
  </si>
  <si>
    <t xml:space="preserve">BLANKENSHIP      </t>
  </si>
  <si>
    <t xml:space="preserve">BLAYLOCK         </t>
  </si>
  <si>
    <t xml:space="preserve">LEVI       </t>
  </si>
  <si>
    <t xml:space="preserve">BLEVINS          </t>
  </si>
  <si>
    <t xml:space="preserve">JESSICA    </t>
  </si>
  <si>
    <t xml:space="preserve">JODIE      </t>
  </si>
  <si>
    <t xml:space="preserve">BLOOTHOOFD       </t>
  </si>
  <si>
    <t xml:space="preserve">MICHELLE   </t>
  </si>
  <si>
    <t xml:space="preserve">BLOUNT           </t>
  </si>
  <si>
    <t xml:space="preserve">BLUE             </t>
  </si>
  <si>
    <t xml:space="preserve">TYSHAUN    </t>
  </si>
  <si>
    <t xml:space="preserve">BLUNT            </t>
  </si>
  <si>
    <t xml:space="preserve">FRANKLIN   </t>
  </si>
  <si>
    <t xml:space="preserve">BOALS            </t>
  </si>
  <si>
    <t xml:space="preserve">SANCHEZ    </t>
  </si>
  <si>
    <t xml:space="preserve">BOATSWAIN        </t>
  </si>
  <si>
    <t xml:space="preserve">ROGER      </t>
  </si>
  <si>
    <t xml:space="preserve">BODINE           </t>
  </si>
  <si>
    <t xml:space="preserve">SHAKKIAH   </t>
  </si>
  <si>
    <t xml:space="preserve">BODKINS          </t>
  </si>
  <si>
    <t xml:space="preserve">ALLEN      </t>
  </si>
  <si>
    <t xml:space="preserve">BODNARI          </t>
  </si>
  <si>
    <t xml:space="preserve">JULIAN     </t>
  </si>
  <si>
    <t xml:space="preserve">BOGGS            </t>
  </si>
  <si>
    <t xml:space="preserve">BOISVERT         </t>
  </si>
  <si>
    <t xml:space="preserve">BRENDAN    </t>
  </si>
  <si>
    <t xml:space="preserve">BOLDEN           </t>
  </si>
  <si>
    <t xml:space="preserve">DEMETRIUS  </t>
  </si>
  <si>
    <t xml:space="preserve">BOLESLAWSKI      </t>
  </si>
  <si>
    <t xml:space="preserve">BOLLING          </t>
  </si>
  <si>
    <t xml:space="preserve">BOLTON           </t>
  </si>
  <si>
    <t xml:space="preserve">ANTWAN     </t>
  </si>
  <si>
    <t xml:space="preserve">BOND             </t>
  </si>
  <si>
    <t xml:space="preserve">BOOKER           </t>
  </si>
  <si>
    <t xml:space="preserve">BOONE            </t>
  </si>
  <si>
    <t xml:space="preserve">BOORMAN          </t>
  </si>
  <si>
    <t xml:space="preserve">BORDLEY          </t>
  </si>
  <si>
    <t xml:space="preserve">DAIQUAN    </t>
  </si>
  <si>
    <t xml:space="preserve">DEWAYNE    </t>
  </si>
  <si>
    <t xml:space="preserve">BORDRICK         </t>
  </si>
  <si>
    <t xml:space="preserve">SHYHEIM    </t>
  </si>
  <si>
    <t xml:space="preserve">BORICAN          </t>
  </si>
  <si>
    <t xml:space="preserve">BREANDRE   </t>
  </si>
  <si>
    <t xml:space="preserve">BORNTREGER       </t>
  </si>
  <si>
    <t xml:space="preserve">DAKOTA     </t>
  </si>
  <si>
    <t xml:space="preserve">BOSTON           </t>
  </si>
  <si>
    <t xml:space="preserve">DEWITT     </t>
  </si>
  <si>
    <t xml:space="preserve">BOULDEN          </t>
  </si>
  <si>
    <t xml:space="preserve">GERARD     </t>
  </si>
  <si>
    <t xml:space="preserve">BOUYER-BELLO     </t>
  </si>
  <si>
    <t xml:space="preserve">YOLANDA    </t>
  </si>
  <si>
    <t xml:space="preserve">BOWDEN           </t>
  </si>
  <si>
    <t xml:space="preserve">FRANK      </t>
  </si>
  <si>
    <t xml:space="preserve">MALCOLM    </t>
  </si>
  <si>
    <t xml:space="preserve">STEPHEN    </t>
  </si>
  <si>
    <t xml:space="preserve">TREY       </t>
  </si>
  <si>
    <t xml:space="preserve">BOWE-ROBINSON    </t>
  </si>
  <si>
    <t xml:space="preserve">BOWEN            </t>
  </si>
  <si>
    <t xml:space="preserve">BRITT      </t>
  </si>
  <si>
    <t xml:space="preserve">DALE       </t>
  </si>
  <si>
    <t xml:space="preserve">ERNEST     </t>
  </si>
  <si>
    <t xml:space="preserve">BOWER            </t>
  </si>
  <si>
    <t xml:space="preserve">BOWERS           </t>
  </si>
  <si>
    <t xml:space="preserve">BOYCE            </t>
  </si>
  <si>
    <t xml:space="preserve">CLEVELAND  </t>
  </si>
  <si>
    <t xml:space="preserve">DAVINE     </t>
  </si>
  <si>
    <t xml:space="preserve">SEDRICK    </t>
  </si>
  <si>
    <t xml:space="preserve">BOYD             </t>
  </si>
  <si>
    <t xml:space="preserve">CHAUNCEY   </t>
  </si>
  <si>
    <t xml:space="preserve">JACKIE     </t>
  </si>
  <si>
    <t xml:space="preserve">SESSION    </t>
  </si>
  <si>
    <t xml:space="preserve">BOYER            </t>
  </si>
  <si>
    <t xml:space="preserve">PARIS      </t>
  </si>
  <si>
    <t xml:space="preserve">TONY       </t>
  </si>
  <si>
    <t xml:space="preserve">BOYKIN           </t>
  </si>
  <si>
    <t xml:space="preserve">NATHAN     </t>
  </si>
  <si>
    <t xml:space="preserve">BOYLES           </t>
  </si>
  <si>
    <t xml:space="preserve">BRACKBILL        </t>
  </si>
  <si>
    <t xml:space="preserve">AMY        </t>
  </si>
  <si>
    <t xml:space="preserve">BRADFORD         </t>
  </si>
  <si>
    <t xml:space="preserve">RYAN       </t>
  </si>
  <si>
    <t xml:space="preserve">BRADLEY          </t>
  </si>
  <si>
    <t xml:space="preserve">LAMARE     </t>
  </si>
  <si>
    <t xml:space="preserve">RAYMOND    </t>
  </si>
  <si>
    <t xml:space="preserve">BRADY            </t>
  </si>
  <si>
    <t xml:space="preserve">DIAMERE    </t>
  </si>
  <si>
    <t xml:space="preserve">BRAINARD         </t>
  </si>
  <si>
    <t xml:space="preserve">BRAKER           </t>
  </si>
  <si>
    <t xml:space="preserve">DENZEL     </t>
  </si>
  <si>
    <t xml:space="preserve">BRAMBLE          </t>
  </si>
  <si>
    <t xml:space="preserve">BRANCH           </t>
  </si>
  <si>
    <t xml:space="preserve">TERRANCE   </t>
  </si>
  <si>
    <t xml:space="preserve">BRANDNER         </t>
  </si>
  <si>
    <t xml:space="preserve">BRANHAM          </t>
  </si>
  <si>
    <t xml:space="preserve">NICOLE     </t>
  </si>
  <si>
    <t xml:space="preserve">BRASSFIELD       </t>
  </si>
  <si>
    <t xml:space="preserve">EMMANUEL   </t>
  </si>
  <si>
    <t xml:space="preserve">BRASURE          </t>
  </si>
  <si>
    <t xml:space="preserve">JENNA      </t>
  </si>
  <si>
    <t xml:space="preserve">BRASWELL         </t>
  </si>
  <si>
    <t xml:space="preserve">RILEY      </t>
  </si>
  <si>
    <t xml:space="preserve">BRATCHER         </t>
  </si>
  <si>
    <t xml:space="preserve">BRATHWAITE       </t>
  </si>
  <si>
    <t xml:space="preserve">BRAUNSKILL       </t>
  </si>
  <si>
    <t xml:space="preserve">CHELSEA    </t>
  </si>
  <si>
    <t xml:space="preserve">BRAXTON          </t>
  </si>
  <si>
    <t xml:space="preserve">DERRICK    </t>
  </si>
  <si>
    <t xml:space="preserve">KIAYRE     </t>
  </si>
  <si>
    <t xml:space="preserve">TORY       </t>
  </si>
  <si>
    <t xml:space="preserve">BRAYBOY          </t>
  </si>
  <si>
    <t xml:space="preserve">RAHMIR     </t>
  </si>
  <si>
    <t xml:space="preserve">BRENNAN          </t>
  </si>
  <si>
    <t xml:space="preserve">BREWAH           </t>
  </si>
  <si>
    <t xml:space="preserve">DAHPPY     </t>
  </si>
  <si>
    <t xml:space="preserve">BREWER           </t>
  </si>
  <si>
    <t xml:space="preserve">BRICE            </t>
  </si>
  <si>
    <t xml:space="preserve">MILES      </t>
  </si>
  <si>
    <t xml:space="preserve">BRICKHOUSE       </t>
  </si>
  <si>
    <t xml:space="preserve">DEIDRA     </t>
  </si>
  <si>
    <t xml:space="preserve">BRIDDELL         </t>
  </si>
  <si>
    <t xml:space="preserve">CORNELIUS  </t>
  </si>
  <si>
    <t xml:space="preserve">BRIDGERS         </t>
  </si>
  <si>
    <t xml:space="preserve">BRIDGES          </t>
  </si>
  <si>
    <t xml:space="preserve">CURTIS     </t>
  </si>
  <si>
    <t xml:space="preserve">BRIGGS           </t>
  </si>
  <si>
    <t xml:space="preserve">BRIGHT           </t>
  </si>
  <si>
    <t xml:space="preserve">BRINKLEY         </t>
  </si>
  <si>
    <t xml:space="preserve">DWAYNE     </t>
  </si>
  <si>
    <t xml:space="preserve">BRISCO           </t>
  </si>
  <si>
    <t xml:space="preserve">SHAQUILLE  </t>
  </si>
  <si>
    <t xml:space="preserve">BRISCOE          </t>
  </si>
  <si>
    <t xml:space="preserve">RAYMIRE    </t>
  </si>
  <si>
    <t xml:space="preserve">BRITT            </t>
  </si>
  <si>
    <t xml:space="preserve">BRITTINGHAM      </t>
  </si>
  <si>
    <t xml:space="preserve">CLIFTON    </t>
  </si>
  <si>
    <t xml:space="preserve">MALACHI    </t>
  </si>
  <si>
    <t xml:space="preserve">MALEKE     </t>
  </si>
  <si>
    <t xml:space="preserve">SAMANTHA   </t>
  </si>
  <si>
    <t xml:space="preserve">TEVEYA     </t>
  </si>
  <si>
    <t xml:space="preserve">VAUGHN     </t>
  </si>
  <si>
    <t xml:space="preserve">BROADNAX         </t>
  </si>
  <si>
    <t xml:space="preserve">DARIUS     </t>
  </si>
  <si>
    <t xml:space="preserve">KWADAIR    </t>
  </si>
  <si>
    <t xml:space="preserve">BROCHU           </t>
  </si>
  <si>
    <t xml:space="preserve">BROCK            </t>
  </si>
  <si>
    <t xml:space="preserve">BROCKLEHURST     </t>
  </si>
  <si>
    <t xml:space="preserve">BRODIE           </t>
  </si>
  <si>
    <t xml:space="preserve">BROKENBROUGH     </t>
  </si>
  <si>
    <t xml:space="preserve">RORY       </t>
  </si>
  <si>
    <t xml:space="preserve">BROMWELL         </t>
  </si>
  <si>
    <t xml:space="preserve">BROOKS           </t>
  </si>
  <si>
    <t xml:space="preserve">ALVIN      </t>
  </si>
  <si>
    <t xml:space="preserve">DASHAWN    </t>
  </si>
  <si>
    <t xml:space="preserve">GALEN      </t>
  </si>
  <si>
    <t xml:space="preserve">LAMAR      </t>
  </si>
  <si>
    <t xml:space="preserve">WARREN     </t>
  </si>
  <si>
    <t xml:space="preserve">ZKAI       </t>
  </si>
  <si>
    <t xml:space="preserve">BROOMALL         </t>
  </si>
  <si>
    <t xml:space="preserve">BROOMER          </t>
  </si>
  <si>
    <t xml:space="preserve">ANNGANETTE </t>
  </si>
  <si>
    <t xml:space="preserve">BROPHY           </t>
  </si>
  <si>
    <t xml:space="preserve">BROUGHTON        </t>
  </si>
  <si>
    <t xml:space="preserve">BROWN            </t>
  </si>
  <si>
    <t xml:space="preserve">ANZARA     </t>
  </si>
  <si>
    <t xml:space="preserve">BRYANNE    </t>
  </si>
  <si>
    <t xml:space="preserve">DAQUAN     </t>
  </si>
  <si>
    <t xml:space="preserve">DARIAN     </t>
  </si>
  <si>
    <t xml:space="preserve">DEVIN      </t>
  </si>
  <si>
    <t xml:space="preserve">DON        </t>
  </si>
  <si>
    <t xml:space="preserve">IRA        </t>
  </si>
  <si>
    <t xml:space="preserve">JAMIR      </t>
  </si>
  <si>
    <t xml:space="preserve">JARAD      </t>
  </si>
  <si>
    <t xml:space="preserve">JENAIL     </t>
  </si>
  <si>
    <t xml:space="preserve">JIMMIE     </t>
  </si>
  <si>
    <t xml:space="preserve">JUDEAU     </t>
  </si>
  <si>
    <t xml:space="preserve">LAMONT     </t>
  </si>
  <si>
    <t xml:space="preserve">MALIK      </t>
  </si>
  <si>
    <t xml:space="preserve">MARC       </t>
  </si>
  <si>
    <t xml:space="preserve">MARQUIS    </t>
  </si>
  <si>
    <t xml:space="preserve">MARSHALL   </t>
  </si>
  <si>
    <t xml:space="preserve">MICAIAH    </t>
  </si>
  <si>
    <t xml:space="preserve">MONTE      </t>
  </si>
  <si>
    <t xml:space="preserve">PARRISH    </t>
  </si>
  <si>
    <t xml:space="preserve">PATRICK    </t>
  </si>
  <si>
    <t xml:space="preserve">RAHEEM     </t>
  </si>
  <si>
    <t xml:space="preserve">RODERICK   </t>
  </si>
  <si>
    <t xml:space="preserve">ROY        </t>
  </si>
  <si>
    <t xml:space="preserve">STEDMAN    </t>
  </si>
  <si>
    <t xml:space="preserve">STEFINE    </t>
  </si>
  <si>
    <t xml:space="preserve">TERRON     </t>
  </si>
  <si>
    <t xml:space="preserve">TREVION    </t>
  </si>
  <si>
    <t xml:space="preserve">WAYNE      </t>
  </si>
  <si>
    <t xml:space="preserve">WILLIE     </t>
  </si>
  <si>
    <t xml:space="preserve">BRUMMELL         </t>
  </si>
  <si>
    <t xml:space="preserve">GUY        </t>
  </si>
  <si>
    <t xml:space="preserve">BRUMMITT         </t>
  </si>
  <si>
    <t xml:space="preserve">BRUNHAMMER       </t>
  </si>
  <si>
    <t xml:space="preserve">BRUNNER          </t>
  </si>
  <si>
    <t xml:space="preserve">BRYANT           </t>
  </si>
  <si>
    <t xml:space="preserve">JESSE      </t>
  </si>
  <si>
    <t xml:space="preserve">MARESE     </t>
  </si>
  <si>
    <t xml:space="preserve">TALEEM     </t>
  </si>
  <si>
    <t xml:space="preserve">BRYCE            </t>
  </si>
  <si>
    <t xml:space="preserve">ALLAN      </t>
  </si>
  <si>
    <t xml:space="preserve">BRYSON           </t>
  </si>
  <si>
    <t xml:space="preserve">VICTOR     </t>
  </si>
  <si>
    <t xml:space="preserve">BRZEZICKI        </t>
  </si>
  <si>
    <t xml:space="preserve">BUBNIAK          </t>
  </si>
  <si>
    <t xml:space="preserve">TYLER      </t>
  </si>
  <si>
    <t xml:space="preserve">BUCKINGHAM       </t>
  </si>
  <si>
    <t xml:space="preserve">BUCKLER          </t>
  </si>
  <si>
    <t xml:space="preserve">BUCKLEW          </t>
  </si>
  <si>
    <t xml:space="preserve">BUIE             </t>
  </si>
  <si>
    <t xml:space="preserve">TROY       </t>
  </si>
  <si>
    <t xml:space="preserve">BULAT            </t>
  </si>
  <si>
    <t xml:space="preserve">GERALD     </t>
  </si>
  <si>
    <t xml:space="preserve">BULLOCK          </t>
  </si>
  <si>
    <t xml:space="preserve">BRIANT     </t>
  </si>
  <si>
    <t xml:space="preserve">BULTER           </t>
  </si>
  <si>
    <t xml:space="preserve">BUMBREY          </t>
  </si>
  <si>
    <t xml:space="preserve">LINNEAR    </t>
  </si>
  <si>
    <t xml:space="preserve">NAQUAN     </t>
  </si>
  <si>
    <t xml:space="preserve">BUNKE            </t>
  </si>
  <si>
    <t xml:space="preserve">BUNTING          </t>
  </si>
  <si>
    <t xml:space="preserve">KEVONE     </t>
  </si>
  <si>
    <t xml:space="preserve">BURBAGE          </t>
  </si>
  <si>
    <t xml:space="preserve">BURCHFIELD       </t>
  </si>
  <si>
    <t xml:space="preserve">BURGESS          </t>
  </si>
  <si>
    <t xml:space="preserve">BURGOS           </t>
  </si>
  <si>
    <t xml:space="preserve">BURHANNON        </t>
  </si>
  <si>
    <t xml:space="preserve">SYEED      </t>
  </si>
  <si>
    <t xml:space="preserve">BURISE           </t>
  </si>
  <si>
    <t xml:space="preserve">LATOYA     </t>
  </si>
  <si>
    <t xml:space="preserve">BURKE            </t>
  </si>
  <si>
    <t xml:space="preserve">BURKETT          </t>
  </si>
  <si>
    <t xml:space="preserve">TIFFANY    </t>
  </si>
  <si>
    <t xml:space="preserve">BURNETT          </t>
  </si>
  <si>
    <t xml:space="preserve">AMIR       </t>
  </si>
  <si>
    <t xml:space="preserve">NARU       </t>
  </si>
  <si>
    <t xml:space="preserve">BURNS            </t>
  </si>
  <si>
    <t xml:space="preserve">BURRELL          </t>
  </si>
  <si>
    <t xml:space="preserve">BURRIS           </t>
  </si>
  <si>
    <t xml:space="preserve">MELVIN     </t>
  </si>
  <si>
    <t xml:space="preserve">ROCKY      </t>
  </si>
  <si>
    <t xml:space="preserve">BURROUGHS        </t>
  </si>
  <si>
    <t xml:space="preserve">BURROWS          </t>
  </si>
  <si>
    <t xml:space="preserve">BURSON           </t>
  </si>
  <si>
    <t xml:space="preserve">TRAUN      </t>
  </si>
  <si>
    <t xml:space="preserve">BURTON           </t>
  </si>
  <si>
    <t xml:space="preserve">DARON      </t>
  </si>
  <si>
    <t xml:space="preserve">KAISHIRA   </t>
  </si>
  <si>
    <t xml:space="preserve">MONTRELL   </t>
  </si>
  <si>
    <t xml:space="preserve">TYRIE      </t>
  </si>
  <si>
    <t xml:space="preserve">ZYAIR      </t>
  </si>
  <si>
    <t xml:space="preserve">BURTON-ROBERSON  </t>
  </si>
  <si>
    <t xml:space="preserve">KIMON      </t>
  </si>
  <si>
    <t xml:space="preserve">BUSH             </t>
  </si>
  <si>
    <t xml:space="preserve">CLAYTON    </t>
  </si>
  <si>
    <t xml:space="preserve">JAKEEM     </t>
  </si>
  <si>
    <t xml:space="preserve">ROLAND     </t>
  </si>
  <si>
    <t xml:space="preserve">BUSSEY           </t>
  </si>
  <si>
    <t xml:space="preserve">BUTCHER          </t>
  </si>
  <si>
    <t xml:space="preserve">AUGUSTINE  </t>
  </si>
  <si>
    <t xml:space="preserve">BLAIR      </t>
  </si>
  <si>
    <t xml:space="preserve">BUTLER           </t>
  </si>
  <si>
    <t xml:space="preserve">BYLER            </t>
  </si>
  <si>
    <t xml:space="preserve">ROMAN      </t>
  </si>
  <si>
    <t xml:space="preserve">BYRD             </t>
  </si>
  <si>
    <t xml:space="preserve">KYSHEEM    </t>
  </si>
  <si>
    <t xml:space="preserve">CABELL           </t>
  </si>
  <si>
    <t xml:space="preserve">CABRERA          </t>
  </si>
  <si>
    <t xml:space="preserve">ETHAN      </t>
  </si>
  <si>
    <t xml:space="preserve">LAZARO     </t>
  </si>
  <si>
    <t xml:space="preserve">CACCAVONE        </t>
  </si>
  <si>
    <t xml:space="preserve">CADIZ            </t>
  </si>
  <si>
    <t xml:space="preserve">CAEL             </t>
  </si>
  <si>
    <t xml:space="preserve">CAHALL           </t>
  </si>
  <si>
    <t xml:space="preserve">CAHOON           </t>
  </si>
  <si>
    <t xml:space="preserve">CALDARAZZO       </t>
  </si>
  <si>
    <t xml:space="preserve">CALDWELL         </t>
  </si>
  <si>
    <t xml:space="preserve">CORY       </t>
  </si>
  <si>
    <t xml:space="preserve">DEANTE     </t>
  </si>
  <si>
    <t xml:space="preserve">FREDERICK  </t>
  </si>
  <si>
    <t xml:space="preserve">SEAN       </t>
  </si>
  <si>
    <t xml:space="preserve">SHELTON    </t>
  </si>
  <si>
    <t xml:space="preserve">CALHOUN          </t>
  </si>
  <si>
    <t xml:space="preserve">CHAON      </t>
  </si>
  <si>
    <t xml:space="preserve">CALHUM           </t>
  </si>
  <si>
    <t xml:space="preserve">CALIXTE          </t>
  </si>
  <si>
    <t xml:space="preserve">HABIEL     </t>
  </si>
  <si>
    <t xml:space="preserve">MITCHELL   </t>
  </si>
  <si>
    <t xml:space="preserve">CALLAHAN         </t>
  </si>
  <si>
    <t xml:space="preserve">JAMAINE    </t>
  </si>
  <si>
    <t xml:space="preserve">LAVOCIA    </t>
  </si>
  <si>
    <t xml:space="preserve">CALLOWAY         </t>
  </si>
  <si>
    <t xml:space="preserve">ADAM       </t>
  </si>
  <si>
    <t xml:space="preserve">CAMACHO          </t>
  </si>
  <si>
    <t xml:space="preserve">CAMERON          </t>
  </si>
  <si>
    <t xml:space="preserve">OMAR       </t>
  </si>
  <si>
    <t xml:space="preserve">CAMPBELL         </t>
  </si>
  <si>
    <t xml:space="preserve">GARY       </t>
  </si>
  <si>
    <t xml:space="preserve">JEREMIE    </t>
  </si>
  <si>
    <t xml:space="preserve">NIGEL      </t>
  </si>
  <si>
    <t xml:space="preserve">RONDREE    </t>
  </si>
  <si>
    <t xml:space="preserve">CAMPER           </t>
  </si>
  <si>
    <t xml:space="preserve">ALBERT     </t>
  </si>
  <si>
    <t xml:space="preserve">CAMPLESI         </t>
  </si>
  <si>
    <t xml:space="preserve">JARED      </t>
  </si>
  <si>
    <t>CAMPUSANO DE LA C</t>
  </si>
  <si>
    <t xml:space="preserve">CAMPUSANO TEJEDA </t>
  </si>
  <si>
    <t xml:space="preserve">CANE             </t>
  </si>
  <si>
    <t xml:space="preserve">CANNON           </t>
  </si>
  <si>
    <t xml:space="preserve">ARUIS      </t>
  </si>
  <si>
    <t xml:space="preserve">CLARENCE   </t>
  </si>
  <si>
    <t xml:space="preserve">ELLIS      </t>
  </si>
  <si>
    <t xml:space="preserve">EMORY      </t>
  </si>
  <si>
    <t xml:space="preserve">GILBERT    </t>
  </si>
  <si>
    <t xml:space="preserve">JAMARR     </t>
  </si>
  <si>
    <t xml:space="preserve">JAVON      </t>
  </si>
  <si>
    <t xml:space="preserve">QUENTIN    </t>
  </si>
  <si>
    <t xml:space="preserve">CANTY            </t>
  </si>
  <si>
    <t xml:space="preserve">TIWAIN     </t>
  </si>
  <si>
    <t xml:space="preserve">CAPARATTA        </t>
  </si>
  <si>
    <t xml:space="preserve">CAPEL            </t>
  </si>
  <si>
    <t xml:space="preserve">WALTSHAUN  </t>
  </si>
  <si>
    <t xml:space="preserve">CAPERS           </t>
  </si>
  <si>
    <t xml:space="preserve">CAPOZIO          </t>
  </si>
  <si>
    <t xml:space="preserve">JACOB      </t>
  </si>
  <si>
    <t xml:space="preserve">CAPUTA           </t>
  </si>
  <si>
    <t xml:space="preserve">CARABALLO        </t>
  </si>
  <si>
    <t xml:space="preserve">IVAN       </t>
  </si>
  <si>
    <t xml:space="preserve">CARDEN           </t>
  </si>
  <si>
    <t xml:space="preserve">JACQUELINE </t>
  </si>
  <si>
    <t xml:space="preserve">CARDWELL         </t>
  </si>
  <si>
    <t xml:space="preserve">CARELLO          </t>
  </si>
  <si>
    <t xml:space="preserve">CAREY            </t>
  </si>
  <si>
    <t xml:space="preserve">ERIN       </t>
  </si>
  <si>
    <t xml:space="preserve">CARLETTI         </t>
  </si>
  <si>
    <t xml:space="preserve">ERNIE      </t>
  </si>
  <si>
    <t xml:space="preserve">CAMERON    </t>
  </si>
  <si>
    <t xml:space="preserve">CARMAN           </t>
  </si>
  <si>
    <t xml:space="preserve">STEPHANIE  </t>
  </si>
  <si>
    <t xml:space="preserve">CARNEY           </t>
  </si>
  <si>
    <t xml:space="preserve">DEONTA     </t>
  </si>
  <si>
    <t xml:space="preserve">CARR             </t>
  </si>
  <si>
    <t xml:space="preserve">CHRISTIAN  </t>
  </si>
  <si>
    <t xml:space="preserve">CARRERAS-AYALA   </t>
  </si>
  <si>
    <t xml:space="preserve">CARRIER          </t>
  </si>
  <si>
    <t xml:space="preserve">NEIL       </t>
  </si>
  <si>
    <t xml:space="preserve">CARRILLO         </t>
  </si>
  <si>
    <t xml:space="preserve">ERIKA      </t>
  </si>
  <si>
    <t xml:space="preserve">CARRION          </t>
  </si>
  <si>
    <t xml:space="preserve">CARROLL          </t>
  </si>
  <si>
    <t xml:space="preserve">CARSTENS         </t>
  </si>
  <si>
    <t xml:space="preserve">CARTER           </t>
  </si>
  <si>
    <t xml:space="preserve">ARTHUR     </t>
  </si>
  <si>
    <t xml:space="preserve">DARRY      </t>
  </si>
  <si>
    <t xml:space="preserve">DELROY     </t>
  </si>
  <si>
    <t xml:space="preserve">JALEEL     </t>
  </si>
  <si>
    <t xml:space="preserve">JASMIN     </t>
  </si>
  <si>
    <t xml:space="preserve">KERRU      </t>
  </si>
  <si>
    <t xml:space="preserve">RUSSELL    </t>
  </si>
  <si>
    <t xml:space="preserve">CARTER BAILEY    </t>
  </si>
  <si>
    <t xml:space="preserve">PIERRE     </t>
  </si>
  <si>
    <t xml:space="preserve">CARTWRIGHT       </t>
  </si>
  <si>
    <t xml:space="preserve">CARUSO           </t>
  </si>
  <si>
    <t xml:space="preserve">CASEY            </t>
  </si>
  <si>
    <t xml:space="preserve">CASON            </t>
  </si>
  <si>
    <t xml:space="preserve">TERASE     </t>
  </si>
  <si>
    <t xml:space="preserve">CASSELL          </t>
  </si>
  <si>
    <t xml:space="preserve">DUPREE     </t>
  </si>
  <si>
    <t xml:space="preserve">CASSON           </t>
  </si>
  <si>
    <t>CASTANEDA-MARTINE</t>
  </si>
  <si>
    <t xml:space="preserve">VINCENTE   </t>
  </si>
  <si>
    <t xml:space="preserve">CASTELLANI       </t>
  </si>
  <si>
    <t xml:space="preserve">DOMINICK   </t>
  </si>
  <si>
    <t xml:space="preserve">CASTENEDA-LOPEZ  </t>
  </si>
  <si>
    <t xml:space="preserve">RAMON      </t>
  </si>
  <si>
    <t xml:space="preserve">CASTERLINE       </t>
  </si>
  <si>
    <t xml:space="preserve">CASTILLO         </t>
  </si>
  <si>
    <t xml:space="preserve">CASTRO           </t>
  </si>
  <si>
    <t xml:space="preserve">RICARDO    </t>
  </si>
  <si>
    <t xml:space="preserve">CASTRODELACRUZ   </t>
  </si>
  <si>
    <t xml:space="preserve">JEHUDI     </t>
  </si>
  <si>
    <t xml:space="preserve">CATHELL          </t>
  </si>
  <si>
    <t xml:space="preserve">CAUDLE           </t>
  </si>
  <si>
    <t xml:space="preserve">CAULEY           </t>
  </si>
  <si>
    <t xml:space="preserve">CAULK            </t>
  </si>
  <si>
    <t xml:space="preserve">DONNELL    </t>
  </si>
  <si>
    <t xml:space="preserve">NYAIRE     </t>
  </si>
  <si>
    <t xml:space="preserve">SABRI      </t>
  </si>
  <si>
    <t xml:space="preserve">CAVALL           </t>
  </si>
  <si>
    <t xml:space="preserve">CAVILL           </t>
  </si>
  <si>
    <t xml:space="preserve">CEDENO REYES     </t>
  </si>
  <si>
    <t xml:space="preserve">CELL             </t>
  </si>
  <si>
    <t xml:space="preserve">CELLI            </t>
  </si>
  <si>
    <t xml:space="preserve">JACIE      </t>
  </si>
  <si>
    <t xml:space="preserve">CEPHAS           </t>
  </si>
  <si>
    <t xml:space="preserve">LAMARIS    </t>
  </si>
  <si>
    <t xml:space="preserve">CERILLO          </t>
  </si>
  <si>
    <t xml:space="preserve">TOBIAS     </t>
  </si>
  <si>
    <t xml:space="preserve">CERRO            </t>
  </si>
  <si>
    <t xml:space="preserve">CESAR            </t>
  </si>
  <si>
    <t xml:space="preserve">FABIAN     </t>
  </si>
  <si>
    <t xml:space="preserve">NELSON     </t>
  </si>
  <si>
    <t xml:space="preserve">CHALIFOUX        </t>
  </si>
  <si>
    <t xml:space="preserve">RICKY      </t>
  </si>
  <si>
    <t xml:space="preserve">CHAMBERLAIN      </t>
  </si>
  <si>
    <t xml:space="preserve">CHAMBERS         </t>
  </si>
  <si>
    <t xml:space="preserve">DYLAN      </t>
  </si>
  <si>
    <t xml:space="preserve">PRESTON    </t>
  </si>
  <si>
    <t xml:space="preserve">RODNEY     </t>
  </si>
  <si>
    <t xml:space="preserve">WENDALL    </t>
  </si>
  <si>
    <t xml:space="preserve">CHANDLER         </t>
  </si>
  <si>
    <t xml:space="preserve">ELTON      </t>
  </si>
  <si>
    <t xml:space="preserve">TYMIRE     </t>
  </si>
  <si>
    <t xml:space="preserve">CHAPMAN          </t>
  </si>
  <si>
    <t xml:space="preserve">NICOLAS    </t>
  </si>
  <si>
    <t xml:space="preserve">CHARBONNEAU      </t>
  </si>
  <si>
    <t xml:space="preserve">LINDA      </t>
  </si>
  <si>
    <t xml:space="preserve">CHARLES          </t>
  </si>
  <si>
    <t xml:space="preserve">BRYANT     </t>
  </si>
  <si>
    <t xml:space="preserve">CHARLESTON       </t>
  </si>
  <si>
    <t xml:space="preserve">CHARRIEZ         </t>
  </si>
  <si>
    <t xml:space="preserve">CHASE            </t>
  </si>
  <si>
    <t xml:space="preserve">DESHAWN    </t>
  </si>
  <si>
    <t xml:space="preserve">CHATTIN          </t>
  </si>
  <si>
    <t xml:space="preserve">LAZAAR     </t>
  </si>
  <si>
    <t xml:space="preserve">CHAVEZ           </t>
  </si>
  <si>
    <t xml:space="preserve">SONIA      </t>
  </si>
  <si>
    <t xml:space="preserve">CHAVEZ-MENDEZ    </t>
  </si>
  <si>
    <t xml:space="preserve">CHAVIS           </t>
  </si>
  <si>
    <t xml:space="preserve">DAKAI      </t>
  </si>
  <si>
    <t xml:space="preserve">CHERRICKS        </t>
  </si>
  <si>
    <t xml:space="preserve">ROBERTO    </t>
  </si>
  <si>
    <t xml:space="preserve">CHERRY           </t>
  </si>
  <si>
    <t xml:space="preserve">CHEVANNES        </t>
  </si>
  <si>
    <t xml:space="preserve">BRYDEN     </t>
  </si>
  <si>
    <t xml:space="preserve">CHILDRESS        </t>
  </si>
  <si>
    <t xml:space="preserve">JODY       </t>
  </si>
  <si>
    <t xml:space="preserve">CHILDS           </t>
  </si>
  <si>
    <t xml:space="preserve">CHILEL NIZ       </t>
  </si>
  <si>
    <t xml:space="preserve">SANTIAGO   </t>
  </si>
  <si>
    <t xml:space="preserve">CHILEL RAMIREZ   </t>
  </si>
  <si>
    <t xml:space="preserve">CHIN             </t>
  </si>
  <si>
    <t xml:space="preserve">CHINSKI          </t>
  </si>
  <si>
    <t xml:space="preserve">CHOMA            </t>
  </si>
  <si>
    <t xml:space="preserve">CHRICHLOW        </t>
  </si>
  <si>
    <t xml:space="preserve">KEINO      </t>
  </si>
  <si>
    <t xml:space="preserve">CHRISDEN         </t>
  </si>
  <si>
    <t xml:space="preserve">JIMVONTE   </t>
  </si>
  <si>
    <t xml:space="preserve">CHRISTIAN        </t>
  </si>
  <si>
    <t xml:space="preserve">WALEEM     </t>
  </si>
  <si>
    <t xml:space="preserve">CHRISTY          </t>
  </si>
  <si>
    <t xml:space="preserve">CHUN-MAZARIEGOS  </t>
  </si>
  <si>
    <t xml:space="preserve">CHURCH           </t>
  </si>
  <si>
    <t xml:space="preserve">CHURCHILL        </t>
  </si>
  <si>
    <t xml:space="preserve">KELLY      </t>
  </si>
  <si>
    <t xml:space="preserve">CINTRON          </t>
  </si>
  <si>
    <t xml:space="preserve">CIPOLLA          </t>
  </si>
  <si>
    <t xml:space="preserve">CIRWITHIAN       </t>
  </si>
  <si>
    <t xml:space="preserve">CLANTON          </t>
  </si>
  <si>
    <t xml:space="preserve">HERBERT    </t>
  </si>
  <si>
    <t xml:space="preserve">CLARK            </t>
  </si>
  <si>
    <t xml:space="preserve">DEVON      </t>
  </si>
  <si>
    <t xml:space="preserve">ELISE      </t>
  </si>
  <si>
    <t xml:space="preserve">JEROME     </t>
  </si>
  <si>
    <t xml:space="preserve">OMARI      </t>
  </si>
  <si>
    <t xml:space="preserve">ROOSEVELT  </t>
  </si>
  <si>
    <t xml:space="preserve">SHAKEEMA   </t>
  </si>
  <si>
    <t xml:space="preserve">SHAMAR     </t>
  </si>
  <si>
    <t xml:space="preserve">TY LIR     </t>
  </si>
  <si>
    <t xml:space="preserve">TYRELL     </t>
  </si>
  <si>
    <t xml:space="preserve">CLARKE           </t>
  </si>
  <si>
    <t xml:space="preserve">KAFIAN     </t>
  </si>
  <si>
    <t xml:space="preserve">TALISHA    </t>
  </si>
  <si>
    <t xml:space="preserve">CLAY             </t>
  </si>
  <si>
    <t xml:space="preserve">CLAYTON          </t>
  </si>
  <si>
    <t xml:space="preserve">CLEAVER          </t>
  </si>
  <si>
    <t xml:space="preserve">CLEMENTS         </t>
  </si>
  <si>
    <t xml:space="preserve">CLENDANIEL       </t>
  </si>
  <si>
    <t xml:space="preserve">CLEVELAND        </t>
  </si>
  <si>
    <t xml:space="preserve">CLIFTON          </t>
  </si>
  <si>
    <t xml:space="preserve">COALE            </t>
  </si>
  <si>
    <t xml:space="preserve">COATES           </t>
  </si>
  <si>
    <t xml:space="preserve">COATSWORTH       </t>
  </si>
  <si>
    <t xml:space="preserve">COBB             </t>
  </si>
  <si>
    <t xml:space="preserve">DOMINIQUE  </t>
  </si>
  <si>
    <t xml:space="preserve">EFFRAM     </t>
  </si>
  <si>
    <t xml:space="preserve">COBLE            </t>
  </si>
  <si>
    <t xml:space="preserve">CODDINGTON       </t>
  </si>
  <si>
    <t xml:space="preserve">COFFIELD         </t>
  </si>
  <si>
    <t xml:space="preserve">COFFMAN          </t>
  </si>
  <si>
    <t xml:space="preserve">COHEN            </t>
  </si>
  <si>
    <t xml:space="preserve">COLBERT          </t>
  </si>
  <si>
    <t xml:space="preserve">COLBURN          </t>
  </si>
  <si>
    <t xml:space="preserve">COLDER           </t>
  </si>
  <si>
    <t xml:space="preserve">TARIQ      </t>
  </si>
  <si>
    <t xml:space="preserve">COLE             </t>
  </si>
  <si>
    <t xml:space="preserve">COLEMAN          </t>
  </si>
  <si>
    <t xml:space="preserve">AKEEM      </t>
  </si>
  <si>
    <t xml:space="preserve">DARCELL    </t>
  </si>
  <si>
    <t xml:space="preserve">ERICK      </t>
  </si>
  <si>
    <t xml:space="preserve">GARLAND    </t>
  </si>
  <si>
    <t xml:space="preserve">KIMBERLY   </t>
  </si>
  <si>
    <t xml:space="preserve">COLLADO          </t>
  </si>
  <si>
    <t xml:space="preserve">EDUARDO    </t>
  </si>
  <si>
    <t xml:space="preserve">COLLAZO          </t>
  </si>
  <si>
    <t xml:space="preserve">CHAZ       </t>
  </si>
  <si>
    <t xml:space="preserve">CHUCK      </t>
  </si>
  <si>
    <t xml:space="preserve">COLLICK          </t>
  </si>
  <si>
    <t xml:space="preserve">CRESHAN    </t>
  </si>
  <si>
    <t xml:space="preserve">COLLIER          </t>
  </si>
  <si>
    <t xml:space="preserve">COLLINGWOOD      </t>
  </si>
  <si>
    <t xml:space="preserve">COLLINS          </t>
  </si>
  <si>
    <t xml:space="preserve">CALEB      </t>
  </si>
  <si>
    <t xml:space="preserve">CARON      </t>
  </si>
  <si>
    <t xml:space="preserve">JOHNNY     </t>
  </si>
  <si>
    <t xml:space="preserve">KRISTOPHER </t>
  </si>
  <si>
    <t xml:space="preserve">SOLOMAN    </t>
  </si>
  <si>
    <t xml:space="preserve">TYAIR      </t>
  </si>
  <si>
    <t xml:space="preserve">COLON            </t>
  </si>
  <si>
    <t xml:space="preserve">COLSON           </t>
  </si>
  <si>
    <t xml:space="preserve">COLVIN           </t>
  </si>
  <si>
    <t xml:space="preserve">COMEGER          </t>
  </si>
  <si>
    <t xml:space="preserve">COMEGYS          </t>
  </si>
  <si>
    <t xml:space="preserve">COMER            </t>
  </si>
  <si>
    <t xml:space="preserve">CONAWAY          </t>
  </si>
  <si>
    <t xml:space="preserve">CLAY       </t>
  </si>
  <si>
    <t xml:space="preserve">CONDON           </t>
  </si>
  <si>
    <t xml:space="preserve">CONGO            </t>
  </si>
  <si>
    <t xml:space="preserve">KENJUAN    </t>
  </si>
  <si>
    <t xml:space="preserve">RASHEEN    </t>
  </si>
  <si>
    <t xml:space="preserve">CONK             </t>
  </si>
  <si>
    <t xml:space="preserve">CONKEY           </t>
  </si>
  <si>
    <t xml:space="preserve">SHAMIR     </t>
  </si>
  <si>
    <t xml:space="preserve">CONKLIN          </t>
  </si>
  <si>
    <t xml:space="preserve">CONLOW           </t>
  </si>
  <si>
    <t xml:space="preserve">CONNELLY         </t>
  </si>
  <si>
    <t xml:space="preserve">CONNER           </t>
  </si>
  <si>
    <t xml:space="preserve">CONQUEST         </t>
  </si>
  <si>
    <t xml:space="preserve">CONRAD           </t>
  </si>
  <si>
    <t xml:space="preserve">SHONDA     </t>
  </si>
  <si>
    <t xml:space="preserve">COOK             </t>
  </si>
  <si>
    <t xml:space="preserve">COOKE            </t>
  </si>
  <si>
    <t xml:space="preserve">COOLIDGE-REED    </t>
  </si>
  <si>
    <t xml:space="preserve">COOMBES          </t>
  </si>
  <si>
    <t xml:space="preserve">EVELYN     </t>
  </si>
  <si>
    <t xml:space="preserve">COOPER           </t>
  </si>
  <si>
    <t xml:space="preserve">JOE        </t>
  </si>
  <si>
    <t xml:space="preserve">COPELAND         </t>
  </si>
  <si>
    <t xml:space="preserve">DARIN      </t>
  </si>
  <si>
    <t xml:space="preserve">DARREL     </t>
  </si>
  <si>
    <t xml:space="preserve">COPENING         </t>
  </si>
  <si>
    <t xml:space="preserve">MARKUS     </t>
  </si>
  <si>
    <t xml:space="preserve">COPPER           </t>
  </si>
  <si>
    <t xml:space="preserve">DARRYL     </t>
  </si>
  <si>
    <t xml:space="preserve">COPPOLA          </t>
  </si>
  <si>
    <t xml:space="preserve">CORBIN           </t>
  </si>
  <si>
    <t xml:space="preserve">FREEMAN    </t>
  </si>
  <si>
    <t xml:space="preserve">CORDEL           </t>
  </si>
  <si>
    <t xml:space="preserve">CORDELL          </t>
  </si>
  <si>
    <t xml:space="preserve">CORDREY          </t>
  </si>
  <si>
    <t xml:space="preserve">CORKELL          </t>
  </si>
  <si>
    <t xml:space="preserve">COURTNEY   </t>
  </si>
  <si>
    <t xml:space="preserve">CORNEJO-ORDORICA </t>
  </si>
  <si>
    <t xml:space="preserve">JOSAFAT    </t>
  </si>
  <si>
    <t xml:space="preserve">CORNETT          </t>
  </si>
  <si>
    <t xml:space="preserve">CORNISH          </t>
  </si>
  <si>
    <t xml:space="preserve">KEON       </t>
  </si>
  <si>
    <t xml:space="preserve">CORREA           </t>
  </si>
  <si>
    <t xml:space="preserve">CORTES           </t>
  </si>
  <si>
    <t xml:space="preserve">COSBY            </t>
  </si>
  <si>
    <t xml:space="preserve">COTTON           </t>
  </si>
  <si>
    <t xml:space="preserve">COULBOURN        </t>
  </si>
  <si>
    <t xml:space="preserve">COUNCIL          </t>
  </si>
  <si>
    <t xml:space="preserve">HEAVEN     </t>
  </si>
  <si>
    <t xml:space="preserve">COURTNEY         </t>
  </si>
  <si>
    <t xml:space="preserve">COUSINS          </t>
  </si>
  <si>
    <t xml:space="preserve">COVERDALE        </t>
  </si>
  <si>
    <t xml:space="preserve">JOEQWELL   </t>
  </si>
  <si>
    <t xml:space="preserve">COX              </t>
  </si>
  <si>
    <t xml:space="preserve">BRITTANY   </t>
  </si>
  <si>
    <t xml:space="preserve">JERVIS     </t>
  </si>
  <si>
    <t xml:space="preserve">COY              </t>
  </si>
  <si>
    <t xml:space="preserve">CHRISTINE  </t>
  </si>
  <si>
    <t xml:space="preserve">CRAFT            </t>
  </si>
  <si>
    <t xml:space="preserve">CRAIG            </t>
  </si>
  <si>
    <t xml:space="preserve">CRAPPER          </t>
  </si>
  <si>
    <t xml:space="preserve">CRAVEN           </t>
  </si>
  <si>
    <t xml:space="preserve">ISAAC      </t>
  </si>
  <si>
    <t xml:space="preserve">CRAWFORD         </t>
  </si>
  <si>
    <t xml:space="preserve">ELIJAH     </t>
  </si>
  <si>
    <t xml:space="preserve">CRAWLEY          </t>
  </si>
  <si>
    <t xml:space="preserve">JARREL     </t>
  </si>
  <si>
    <t xml:space="preserve">VARDON     </t>
  </si>
  <si>
    <t xml:space="preserve">CREAN            </t>
  </si>
  <si>
    <t xml:space="preserve">DARRON     </t>
  </si>
  <si>
    <t xml:space="preserve">CRESTO           </t>
  </si>
  <si>
    <t xml:space="preserve">CREWS            </t>
  </si>
  <si>
    <t xml:space="preserve">CRIME            </t>
  </si>
  <si>
    <t xml:space="preserve">ARISMENDY  </t>
  </si>
  <si>
    <t xml:space="preserve">CRIPPEN          </t>
  </si>
  <si>
    <t xml:space="preserve">JEFFERY    </t>
  </si>
  <si>
    <t xml:space="preserve">CRISDEN          </t>
  </si>
  <si>
    <t xml:space="preserve">CRIST            </t>
  </si>
  <si>
    <t xml:space="preserve">CROFT            </t>
  </si>
  <si>
    <t xml:space="preserve">CROLL            </t>
  </si>
  <si>
    <t xml:space="preserve">CROPPER          </t>
  </si>
  <si>
    <t xml:space="preserve">CROSBY           </t>
  </si>
  <si>
    <t xml:space="preserve">MOHAMMAD   </t>
  </si>
  <si>
    <t xml:space="preserve">CROSBY-AVANT     </t>
  </si>
  <si>
    <t xml:space="preserve">DAVON      </t>
  </si>
  <si>
    <t xml:space="preserve">CROSELL          </t>
  </si>
  <si>
    <t xml:space="preserve">TAVAUGHN   </t>
  </si>
  <si>
    <t xml:space="preserve">CROW             </t>
  </si>
  <si>
    <t xml:space="preserve">CROWDER          </t>
  </si>
  <si>
    <t xml:space="preserve">CRUET            </t>
  </si>
  <si>
    <t xml:space="preserve">FELIX      </t>
  </si>
  <si>
    <t xml:space="preserve">CRUMB            </t>
  </si>
  <si>
    <t xml:space="preserve">CRUMMELL         </t>
  </si>
  <si>
    <t xml:space="preserve">LYNIQUE    </t>
  </si>
  <si>
    <t xml:space="preserve">CRUMP            </t>
  </si>
  <si>
    <t xml:space="preserve">CRUMPLER         </t>
  </si>
  <si>
    <t xml:space="preserve">CRUZ             </t>
  </si>
  <si>
    <t xml:space="preserve">DAJUAN     </t>
  </si>
  <si>
    <t xml:space="preserve">ELADIO     </t>
  </si>
  <si>
    <t xml:space="preserve">MARITZA    </t>
  </si>
  <si>
    <t xml:space="preserve">CRUZ-FLORES      </t>
  </si>
  <si>
    <t xml:space="preserve">CRUZ-VAZQUEZ     </t>
  </si>
  <si>
    <t xml:space="preserve">RAUL       </t>
  </si>
  <si>
    <t xml:space="preserve">CRUZ-WEBSTER     </t>
  </si>
  <si>
    <t xml:space="preserve">CUBBAGE          </t>
  </si>
  <si>
    <t xml:space="preserve">CUFF             </t>
  </si>
  <si>
    <t xml:space="preserve">CUFFEE           </t>
  </si>
  <si>
    <t xml:space="preserve">MICAH      </t>
  </si>
  <si>
    <t xml:space="preserve">QUINTON    </t>
  </si>
  <si>
    <t xml:space="preserve">CUMMINGS         </t>
  </si>
  <si>
    <t xml:space="preserve">CUNNINGHAM       </t>
  </si>
  <si>
    <t xml:space="preserve">CARLIE     </t>
  </si>
  <si>
    <t xml:space="preserve">LAVELL     </t>
  </si>
  <si>
    <t>CURRINGTON BRYANT</t>
  </si>
  <si>
    <t xml:space="preserve">CURRY            </t>
  </si>
  <si>
    <t xml:space="preserve">EVERETTE   </t>
  </si>
  <si>
    <t xml:space="preserve">CUSHNER          </t>
  </si>
  <si>
    <t xml:space="preserve">CUSTIS           </t>
  </si>
  <si>
    <t xml:space="preserve">DEREL      </t>
  </si>
  <si>
    <t xml:space="preserve">JAWAN      </t>
  </si>
  <si>
    <t xml:space="preserve">JEREL      </t>
  </si>
  <si>
    <t xml:space="preserve">KYREE      </t>
  </si>
  <si>
    <t xml:space="preserve">CYKOSKY          </t>
  </si>
  <si>
    <t xml:space="preserve">CZAJKA           </t>
  </si>
  <si>
    <t xml:space="preserve">CZECH            </t>
  </si>
  <si>
    <t xml:space="preserve">DABNEY           </t>
  </si>
  <si>
    <t xml:space="preserve">CHYANNE    </t>
  </si>
  <si>
    <t xml:space="preserve">DACOSTA          </t>
  </si>
  <si>
    <t xml:space="preserve">DAILEY           </t>
  </si>
  <si>
    <t xml:space="preserve">DAISEY           </t>
  </si>
  <si>
    <t xml:space="preserve">NIZSA      </t>
  </si>
  <si>
    <t xml:space="preserve">DALE             </t>
  </si>
  <si>
    <t xml:space="preserve">DALEY            </t>
  </si>
  <si>
    <t xml:space="preserve">DALLAS           </t>
  </si>
  <si>
    <t xml:space="preserve">DALTON           </t>
  </si>
  <si>
    <t xml:space="preserve">DAMIANI          </t>
  </si>
  <si>
    <t xml:space="preserve">PABLO      </t>
  </si>
  <si>
    <t xml:space="preserve">DANIELS          </t>
  </si>
  <si>
    <t xml:space="preserve">JAMEL      </t>
  </si>
  <si>
    <t xml:space="preserve">JESSECA    </t>
  </si>
  <si>
    <t xml:space="preserve">ORRIN      </t>
  </si>
  <si>
    <t xml:space="preserve">TRAVON     </t>
  </si>
  <si>
    <t xml:space="preserve">ULYSSES    </t>
  </si>
  <si>
    <t xml:space="preserve">DAO              </t>
  </si>
  <si>
    <t xml:space="preserve">PHI        </t>
  </si>
  <si>
    <t xml:space="preserve">DARDEN           </t>
  </si>
  <si>
    <t xml:space="preserve">DASH             </t>
  </si>
  <si>
    <t xml:space="preserve">ULYSSESS   </t>
  </si>
  <si>
    <t xml:space="preserve">DASHIELL         </t>
  </si>
  <si>
    <t xml:space="preserve">DAVENPORT        </t>
  </si>
  <si>
    <t xml:space="preserve">DAVIDSON         </t>
  </si>
  <si>
    <t xml:space="preserve">DAVIS            </t>
  </si>
  <si>
    <t xml:space="preserve">DIESHA     </t>
  </si>
  <si>
    <t xml:space="preserve">DWIGHT     </t>
  </si>
  <si>
    <t xml:space="preserve">GRAYLING   </t>
  </si>
  <si>
    <t xml:space="preserve">JALIL      </t>
  </si>
  <si>
    <t xml:space="preserve">JYAR       </t>
  </si>
  <si>
    <t xml:space="preserve">LORNE      </t>
  </si>
  <si>
    <t xml:space="preserve">MARKEL     </t>
  </si>
  <si>
    <t xml:space="preserve">PHILIP     </t>
  </si>
  <si>
    <t xml:space="preserve">RONNIE     </t>
  </si>
  <si>
    <t xml:space="preserve">SIDNEY     </t>
  </si>
  <si>
    <t xml:space="preserve">STACY      </t>
  </si>
  <si>
    <t xml:space="preserve">DAVIS-BROWN      </t>
  </si>
  <si>
    <t xml:space="preserve">REIGN      </t>
  </si>
  <si>
    <t xml:space="preserve">DAVOLOS          </t>
  </si>
  <si>
    <t xml:space="preserve">DAWKINS          </t>
  </si>
  <si>
    <t xml:space="preserve">DAWUD            </t>
  </si>
  <si>
    <t xml:space="preserve">MUSA       </t>
  </si>
  <si>
    <t xml:space="preserve">DAYTON           </t>
  </si>
  <si>
    <t xml:space="preserve">EVAN       </t>
  </si>
  <si>
    <t xml:space="preserve">DAZEVEDO         </t>
  </si>
  <si>
    <t xml:space="preserve">DE LEON          </t>
  </si>
  <si>
    <t xml:space="preserve">DARWIN     </t>
  </si>
  <si>
    <t xml:space="preserve">DEAN             </t>
  </si>
  <si>
    <t xml:space="preserve">NICHOLAS   </t>
  </si>
  <si>
    <t xml:space="preserve">DEAR             </t>
  </si>
  <si>
    <t xml:space="preserve">HOWARD     </t>
  </si>
  <si>
    <t xml:space="preserve">DEARRY           </t>
  </si>
  <si>
    <t xml:space="preserve">JAMAAL     </t>
  </si>
  <si>
    <t xml:space="preserve">DEBONIS          </t>
  </si>
  <si>
    <t xml:space="preserve">ANDY       </t>
  </si>
  <si>
    <t xml:space="preserve">DEBRIGHT         </t>
  </si>
  <si>
    <t xml:space="preserve">IAN        </t>
  </si>
  <si>
    <t xml:space="preserve">DEEL             </t>
  </si>
  <si>
    <t xml:space="preserve">DEJESUS          </t>
  </si>
  <si>
    <t xml:space="preserve">DEJESUS-SANTIAGO </t>
  </si>
  <si>
    <t xml:space="preserve">DELAR            </t>
  </si>
  <si>
    <t xml:space="preserve">DELEON           </t>
  </si>
  <si>
    <t xml:space="preserve">JOEL       </t>
  </si>
  <si>
    <t xml:space="preserve">DELGADO          </t>
  </si>
  <si>
    <t xml:space="preserve">DELHOTAL         </t>
  </si>
  <si>
    <t xml:space="preserve">DELVA            </t>
  </si>
  <si>
    <t xml:space="preserve">DEMBY            </t>
  </si>
  <si>
    <t xml:space="preserve">STANFORD   </t>
  </si>
  <si>
    <t xml:space="preserve">DEMONIA          </t>
  </si>
  <si>
    <t xml:space="preserve">TYMERE     </t>
  </si>
  <si>
    <t xml:space="preserve">DENNEY           </t>
  </si>
  <si>
    <t xml:space="preserve">DENNIS           </t>
  </si>
  <si>
    <t xml:space="preserve">JY-AIRE    </t>
  </si>
  <si>
    <t xml:space="preserve">WENDELL    </t>
  </si>
  <si>
    <t xml:space="preserve">DENNY            </t>
  </si>
  <si>
    <t xml:space="preserve">DENSTON          </t>
  </si>
  <si>
    <t xml:space="preserve">DEPUTY           </t>
  </si>
  <si>
    <t xml:space="preserve">JAYDAN     </t>
  </si>
  <si>
    <t xml:space="preserve">DESHIELDS        </t>
  </si>
  <si>
    <t xml:space="preserve">DARRIN     </t>
  </si>
  <si>
    <t xml:space="preserve">JAMAR      </t>
  </si>
  <si>
    <t xml:space="preserve">SHANE      </t>
  </si>
  <si>
    <t xml:space="preserve">STEPHAN    </t>
  </si>
  <si>
    <t xml:space="preserve">DESIR            </t>
  </si>
  <si>
    <t xml:space="preserve">DENORD     </t>
  </si>
  <si>
    <t xml:space="preserve">Z   </t>
  </si>
  <si>
    <t xml:space="preserve">DESMOND          </t>
  </si>
  <si>
    <t xml:space="preserve">DETWILER         </t>
  </si>
  <si>
    <t xml:space="preserve">DEVORE           </t>
  </si>
  <si>
    <t xml:space="preserve">DIAZ             </t>
  </si>
  <si>
    <t xml:space="preserve">AVALON     </t>
  </si>
  <si>
    <t xml:space="preserve">RAFAEL     </t>
  </si>
  <si>
    <t xml:space="preserve">TYLEAR     </t>
  </si>
  <si>
    <t xml:space="preserve">DICKENS          </t>
  </si>
  <si>
    <t xml:space="preserve">DICKERSON        </t>
  </si>
  <si>
    <t xml:space="preserve">LATEEF     </t>
  </si>
  <si>
    <t xml:space="preserve">RONAIRE    </t>
  </si>
  <si>
    <t xml:space="preserve">DICKINSON        </t>
  </si>
  <si>
    <t xml:space="preserve">DICKSON          </t>
  </si>
  <si>
    <t xml:space="preserve">LUTHER     </t>
  </si>
  <si>
    <t xml:space="preserve">DICRISCIO        </t>
  </si>
  <si>
    <t xml:space="preserve">DIGGS            </t>
  </si>
  <si>
    <t xml:space="preserve">MURAD      </t>
  </si>
  <si>
    <t xml:space="preserve">DILL             </t>
  </si>
  <si>
    <t xml:space="preserve">DILLARD          </t>
  </si>
  <si>
    <t xml:space="preserve">DANTE      </t>
  </si>
  <si>
    <t xml:space="preserve">KRISHAN    </t>
  </si>
  <si>
    <t xml:space="preserve">DILWORTH         </t>
  </si>
  <si>
    <t xml:space="preserve">KATIE      </t>
  </si>
  <si>
    <t xml:space="preserve">DIRKS            </t>
  </si>
  <si>
    <t xml:space="preserve">DISABATINO       </t>
  </si>
  <si>
    <t xml:space="preserve">DISHAROON        </t>
  </si>
  <si>
    <t xml:space="preserve">DIXON            </t>
  </si>
  <si>
    <t xml:space="preserve">JORDAN     </t>
  </si>
  <si>
    <t xml:space="preserve">TRAEVON    </t>
  </si>
  <si>
    <t xml:space="preserve">DOBY             </t>
  </si>
  <si>
    <t xml:space="preserve">DOCKINS          </t>
  </si>
  <si>
    <t xml:space="preserve">DOE              </t>
  </si>
  <si>
    <t xml:space="preserve">CHAYEE     </t>
  </si>
  <si>
    <t xml:space="preserve">DOHMAN           </t>
  </si>
  <si>
    <t xml:space="preserve">CHANADE    </t>
  </si>
  <si>
    <t xml:space="preserve">DOLAN            </t>
  </si>
  <si>
    <t xml:space="preserve">DOLBY            </t>
  </si>
  <si>
    <t xml:space="preserve">KYLE       </t>
  </si>
  <si>
    <t xml:space="preserve">DOLLARD          </t>
  </si>
  <si>
    <t xml:space="preserve">KASHEIF    </t>
  </si>
  <si>
    <t xml:space="preserve">TIMANE     </t>
  </si>
  <si>
    <t xml:space="preserve">DOLLEY           </t>
  </si>
  <si>
    <t xml:space="preserve">JIQUESE    </t>
  </si>
  <si>
    <t xml:space="preserve">DOMINGO          </t>
  </si>
  <si>
    <t xml:space="preserve">DONALD           </t>
  </si>
  <si>
    <t xml:space="preserve">CLEOPHAS   </t>
  </si>
  <si>
    <t xml:space="preserve">DONDERO          </t>
  </si>
  <si>
    <t xml:space="preserve">DONOHUE          </t>
  </si>
  <si>
    <t xml:space="preserve">DONOPHAN         </t>
  </si>
  <si>
    <t xml:space="preserve">DOOLEY           </t>
  </si>
  <si>
    <t xml:space="preserve">DORAZIO          </t>
  </si>
  <si>
    <t xml:space="preserve">DOREY            </t>
  </si>
  <si>
    <t xml:space="preserve">DORMAN           </t>
  </si>
  <si>
    <t xml:space="preserve">DORSETT          </t>
  </si>
  <si>
    <t xml:space="preserve">DEVONTE    </t>
  </si>
  <si>
    <t xml:space="preserve">DORSEY           </t>
  </si>
  <si>
    <t xml:space="preserve">CLINTON    </t>
  </si>
  <si>
    <t xml:space="preserve">JAMERE     </t>
  </si>
  <si>
    <t xml:space="preserve">PRISCILLA  </t>
  </si>
  <si>
    <t xml:space="preserve">DORVILIER        </t>
  </si>
  <si>
    <t xml:space="preserve">JUNIOR     </t>
  </si>
  <si>
    <t xml:space="preserve">DOTSON           </t>
  </si>
  <si>
    <t xml:space="preserve">ARLYS      </t>
  </si>
  <si>
    <t xml:space="preserve">DOUGHTY          </t>
  </si>
  <si>
    <t xml:space="preserve">LAPRENTIS  </t>
  </si>
  <si>
    <t xml:space="preserve">DOUGLAS          </t>
  </si>
  <si>
    <t xml:space="preserve">IMAN       </t>
  </si>
  <si>
    <t xml:space="preserve">SHAIQUANE  </t>
  </si>
  <si>
    <t xml:space="preserve">DOVER            </t>
  </si>
  <si>
    <t xml:space="preserve">SAMEER     </t>
  </si>
  <si>
    <t xml:space="preserve">DOWNES           </t>
  </si>
  <si>
    <t xml:space="preserve">DOWNEY-WATKINS   </t>
  </si>
  <si>
    <t xml:space="preserve">SHATIR     </t>
  </si>
  <si>
    <t xml:space="preserve">DOWNING          </t>
  </si>
  <si>
    <t xml:space="preserve">TEREK      </t>
  </si>
  <si>
    <t xml:space="preserve">DOWNS            </t>
  </si>
  <si>
    <t xml:space="preserve">TERRY      </t>
  </si>
  <si>
    <t xml:space="preserve">DRAKE            </t>
  </si>
  <si>
    <t xml:space="preserve">HAKIM      </t>
  </si>
  <si>
    <t xml:space="preserve">DRAPER           </t>
  </si>
  <si>
    <t xml:space="preserve">DREHER           </t>
  </si>
  <si>
    <t xml:space="preserve">DREW             </t>
  </si>
  <si>
    <t xml:space="preserve">DROZDOWSKI       </t>
  </si>
  <si>
    <t xml:space="preserve">TODD       </t>
  </si>
  <si>
    <t xml:space="preserve">DRUMGO           </t>
  </si>
  <si>
    <t xml:space="preserve">DRUMMOND         </t>
  </si>
  <si>
    <t xml:space="preserve">YAHI       </t>
  </si>
  <si>
    <t xml:space="preserve">DRYBURGH         </t>
  </si>
  <si>
    <t xml:space="preserve">JONATHON   </t>
  </si>
  <si>
    <t xml:space="preserve">DUBLIN           </t>
  </si>
  <si>
    <t xml:space="preserve">ZION       </t>
  </si>
  <si>
    <t xml:space="preserve">DUBOIS           </t>
  </si>
  <si>
    <t xml:space="preserve">DUBOSE           </t>
  </si>
  <si>
    <t xml:space="preserve">DUCETTE          </t>
  </si>
  <si>
    <t xml:space="preserve">DUCHEMIN         </t>
  </si>
  <si>
    <t xml:space="preserve">DUCOTE           </t>
  </si>
  <si>
    <t xml:space="preserve">GLEN       </t>
  </si>
  <si>
    <t xml:space="preserve">DUDLEY           </t>
  </si>
  <si>
    <t xml:space="preserve">JESSEY     </t>
  </si>
  <si>
    <t xml:space="preserve">MARTIN     </t>
  </si>
  <si>
    <t xml:space="preserve">DUFFY            </t>
  </si>
  <si>
    <t xml:space="preserve">DARREN     </t>
  </si>
  <si>
    <t xml:space="preserve">DUGAN            </t>
  </si>
  <si>
    <t xml:space="preserve">ERICA      </t>
  </si>
  <si>
    <t xml:space="preserve">DUKAS            </t>
  </si>
  <si>
    <t xml:space="preserve">DUKER            </t>
  </si>
  <si>
    <t xml:space="preserve">NASIR      </t>
  </si>
  <si>
    <t xml:space="preserve">DUKES            </t>
  </si>
  <si>
    <t xml:space="preserve">GENE       </t>
  </si>
  <si>
    <t xml:space="preserve">DULA             </t>
  </si>
  <si>
    <t xml:space="preserve">DULANEY          </t>
  </si>
  <si>
    <t xml:space="preserve">DUNAGAN          </t>
  </si>
  <si>
    <t xml:space="preserve">DUNLAP           </t>
  </si>
  <si>
    <t xml:space="preserve">RANDY      </t>
  </si>
  <si>
    <t xml:space="preserve">DUNN             </t>
  </si>
  <si>
    <t xml:space="preserve">DUNNELL          </t>
  </si>
  <si>
    <t xml:space="preserve">DUNNUM           </t>
  </si>
  <si>
    <t xml:space="preserve">DUNSMORE         </t>
  </si>
  <si>
    <t xml:space="preserve">JUDITH     </t>
  </si>
  <si>
    <t xml:space="preserve">DUONNOLO         </t>
  </si>
  <si>
    <t xml:space="preserve">DUPRAS           </t>
  </si>
  <si>
    <t xml:space="preserve">DUPREE           </t>
  </si>
  <si>
    <t xml:space="preserve">KURT       </t>
  </si>
  <si>
    <t xml:space="preserve">DURANT-BEY       </t>
  </si>
  <si>
    <t xml:space="preserve">AHMED      </t>
  </si>
  <si>
    <t xml:space="preserve">DURHAM           </t>
  </si>
  <si>
    <t xml:space="preserve">ALEX       </t>
  </si>
  <si>
    <t xml:space="preserve">EMILY      </t>
  </si>
  <si>
    <t xml:space="preserve">DURNEY           </t>
  </si>
  <si>
    <t xml:space="preserve">DUTTON           </t>
  </si>
  <si>
    <t xml:space="preserve">DWYER            </t>
  </si>
  <si>
    <t xml:space="preserve">DYTON            </t>
  </si>
  <si>
    <t xml:space="preserve">EARL             </t>
  </si>
  <si>
    <t xml:space="preserve">EAVES            </t>
  </si>
  <si>
    <t xml:space="preserve">EBLING           </t>
  </si>
  <si>
    <t xml:space="preserve">EDELIN           </t>
  </si>
  <si>
    <t xml:space="preserve">EDGAR            </t>
  </si>
  <si>
    <t xml:space="preserve">EDMOND           </t>
  </si>
  <si>
    <t xml:space="preserve">EDMUND           </t>
  </si>
  <si>
    <t xml:space="preserve">RONALDO    </t>
  </si>
  <si>
    <t xml:space="preserve">EDMUNDS          </t>
  </si>
  <si>
    <t xml:space="preserve">EDWARDS          </t>
  </si>
  <si>
    <t xml:space="preserve">KRYSTLE    </t>
  </si>
  <si>
    <t xml:space="preserve">SHAIHEME   </t>
  </si>
  <si>
    <t xml:space="preserve">EGGLESTON        </t>
  </si>
  <si>
    <t xml:space="preserve">EISENBACK        </t>
  </si>
  <si>
    <t xml:space="preserve">EL-ABBADI        </t>
  </si>
  <si>
    <t xml:space="preserve">TAHA       </t>
  </si>
  <si>
    <t xml:space="preserve">ELDER            </t>
  </si>
  <si>
    <t xml:space="preserve">ELEY             </t>
  </si>
  <si>
    <t xml:space="preserve">ELLERBE          </t>
  </si>
  <si>
    <t xml:space="preserve">BERNARD    </t>
  </si>
  <si>
    <t xml:space="preserve">ELLIOTTE         </t>
  </si>
  <si>
    <t xml:space="preserve">ELLIS            </t>
  </si>
  <si>
    <t xml:space="preserve">DONAHUE    </t>
  </si>
  <si>
    <t xml:space="preserve">DONIELLE   </t>
  </si>
  <si>
    <t xml:space="preserve">ELMORE           </t>
  </si>
  <si>
    <t xml:space="preserve">EMMI             </t>
  </si>
  <si>
    <t xml:space="preserve">SHERY      </t>
  </si>
  <si>
    <t xml:space="preserve">EMORY            </t>
  </si>
  <si>
    <t xml:space="preserve">EPPERSON         </t>
  </si>
  <si>
    <t xml:space="preserve">ERLE             </t>
  </si>
  <si>
    <t xml:space="preserve">ERSKINE          </t>
  </si>
  <si>
    <t xml:space="preserve">ERWIN            </t>
  </si>
  <si>
    <t xml:space="preserve">ESCALERA         </t>
  </si>
  <si>
    <t xml:space="preserve">ELI        </t>
  </si>
  <si>
    <t xml:space="preserve">ESCOBAR          </t>
  </si>
  <si>
    <t xml:space="preserve">FEDERICO   </t>
  </si>
  <si>
    <t xml:space="preserve">ESCOBAR-ARCOS    </t>
  </si>
  <si>
    <t xml:space="preserve">ESQUE            </t>
  </si>
  <si>
    <t xml:space="preserve">ESTRADA          </t>
  </si>
  <si>
    <t xml:space="preserve">FELIPE     </t>
  </si>
  <si>
    <t xml:space="preserve">EVANS            </t>
  </si>
  <si>
    <t xml:space="preserve">AUGUSTUS   </t>
  </si>
  <si>
    <t xml:space="preserve">BRETT      </t>
  </si>
  <si>
    <t xml:space="preserve">HAYWARD    </t>
  </si>
  <si>
    <t xml:space="preserve">LORENZO    </t>
  </si>
  <si>
    <t xml:space="preserve">NHY'JEE    </t>
  </si>
  <si>
    <t xml:space="preserve">WARD       </t>
  </si>
  <si>
    <t xml:space="preserve">EVANSMAYES       </t>
  </si>
  <si>
    <t xml:space="preserve">EVERETT          </t>
  </si>
  <si>
    <t xml:space="preserve">EVICK            </t>
  </si>
  <si>
    <t xml:space="preserve">CHRISTIANA </t>
  </si>
  <si>
    <t xml:space="preserve">EWELL            </t>
  </si>
  <si>
    <t xml:space="preserve">EYE              </t>
  </si>
  <si>
    <t xml:space="preserve">EYSTER           </t>
  </si>
  <si>
    <t xml:space="preserve">DANIELLE   </t>
  </si>
  <si>
    <t xml:space="preserve">FAGG             </t>
  </si>
  <si>
    <t xml:space="preserve">FAHMY            </t>
  </si>
  <si>
    <t xml:space="preserve">FAIRLEY          </t>
  </si>
  <si>
    <t xml:space="preserve">FALCON           </t>
  </si>
  <si>
    <t xml:space="preserve">CRISTIAN   </t>
  </si>
  <si>
    <t xml:space="preserve">FANA-RUIZ        </t>
  </si>
  <si>
    <t xml:space="preserve">BEATRIZ    </t>
  </si>
  <si>
    <t xml:space="preserve">FANNING          </t>
  </si>
  <si>
    <t xml:space="preserve">FARLOW           </t>
  </si>
  <si>
    <t xml:space="preserve">JEREMIAH   </t>
  </si>
  <si>
    <t xml:space="preserve">NORRIS     </t>
  </si>
  <si>
    <t xml:space="preserve">FARNAN           </t>
  </si>
  <si>
    <t xml:space="preserve">FARRARE          </t>
  </si>
  <si>
    <t xml:space="preserve">FARRINGTON       </t>
  </si>
  <si>
    <t xml:space="preserve">FASSETT          </t>
  </si>
  <si>
    <t xml:space="preserve">SIMONE     </t>
  </si>
  <si>
    <t xml:space="preserve">FATIR            </t>
  </si>
  <si>
    <t xml:space="preserve">FAULK            </t>
  </si>
  <si>
    <t xml:space="preserve">FAULKNER         </t>
  </si>
  <si>
    <t xml:space="preserve">FEDDIMAN         </t>
  </si>
  <si>
    <t xml:space="preserve">FELICIANO        </t>
  </si>
  <si>
    <t xml:space="preserve">FELIX            </t>
  </si>
  <si>
    <t xml:space="preserve">DABY       </t>
  </si>
  <si>
    <t xml:space="preserve">FELIZ-FELIZ      </t>
  </si>
  <si>
    <t xml:space="preserve">FELLS            </t>
  </si>
  <si>
    <t xml:space="preserve">FELTER           </t>
  </si>
  <si>
    <t xml:space="preserve">FELTON           </t>
  </si>
  <si>
    <t xml:space="preserve">CONNIE     </t>
  </si>
  <si>
    <t xml:space="preserve">FENNELL          </t>
  </si>
  <si>
    <t xml:space="preserve">FENTON           </t>
  </si>
  <si>
    <t xml:space="preserve">FERGUSON         </t>
  </si>
  <si>
    <t xml:space="preserve">DEJOYNAY   </t>
  </si>
  <si>
    <t xml:space="preserve">FERNANDEZ        </t>
  </si>
  <si>
    <t xml:space="preserve">FERNANDINI       </t>
  </si>
  <si>
    <t xml:space="preserve">FERRELL          </t>
  </si>
  <si>
    <t xml:space="preserve">FRANCIS    </t>
  </si>
  <si>
    <t xml:space="preserve">FERRER-VASQUEZ   </t>
  </si>
  <si>
    <t xml:space="preserve">FERRY            </t>
  </si>
  <si>
    <t xml:space="preserve">FIELDS           </t>
  </si>
  <si>
    <t xml:space="preserve">CHADD      </t>
  </si>
  <si>
    <t xml:space="preserve">KY'JUAN    </t>
  </si>
  <si>
    <t xml:space="preserve">MAKYE      </t>
  </si>
  <si>
    <t xml:space="preserve">FIGGS            </t>
  </si>
  <si>
    <t xml:space="preserve">FIGUEROA         </t>
  </si>
  <si>
    <t xml:space="preserve">JESSER     </t>
  </si>
  <si>
    <t xml:space="preserve">FIGURA           </t>
  </si>
  <si>
    <t xml:space="preserve">FINNEY           </t>
  </si>
  <si>
    <t xml:space="preserve">FISHER           </t>
  </si>
  <si>
    <t xml:space="preserve">JAMERA     </t>
  </si>
  <si>
    <t xml:space="preserve">RAIQUAN    </t>
  </si>
  <si>
    <t xml:space="preserve">FISKE            </t>
  </si>
  <si>
    <t xml:space="preserve">FISTZGILES       </t>
  </si>
  <si>
    <t xml:space="preserve">FITZGERALD       </t>
  </si>
  <si>
    <t xml:space="preserve">JESSIE     </t>
  </si>
  <si>
    <t xml:space="preserve">FLAGG            </t>
  </si>
  <si>
    <t xml:space="preserve">FLAMER           </t>
  </si>
  <si>
    <t xml:space="preserve">FLEETWOOD        </t>
  </si>
  <si>
    <t xml:space="preserve">FLETCHER         </t>
  </si>
  <si>
    <t xml:space="preserve">CEDRIC     </t>
  </si>
  <si>
    <t xml:space="preserve">FLICKINGER       </t>
  </si>
  <si>
    <t xml:space="preserve">FLIPPEN          </t>
  </si>
  <si>
    <t xml:space="preserve">FLIPPIN          </t>
  </si>
  <si>
    <t xml:space="preserve">FLONNORY         </t>
  </si>
  <si>
    <t xml:space="preserve">FLOOD            </t>
  </si>
  <si>
    <t xml:space="preserve">FLORAY           </t>
  </si>
  <si>
    <t xml:space="preserve">FLORES           </t>
  </si>
  <si>
    <t xml:space="preserve">CESAR      </t>
  </si>
  <si>
    <t xml:space="preserve">FLORES RODRIGUEZ </t>
  </si>
  <si>
    <t xml:space="preserve">FERNANDO   </t>
  </si>
  <si>
    <t xml:space="preserve">FLORESTAL        </t>
  </si>
  <si>
    <t xml:space="preserve">DJEFLY     </t>
  </si>
  <si>
    <t xml:space="preserve">SMITH      </t>
  </si>
  <si>
    <t xml:space="preserve">STEVE      </t>
  </si>
  <si>
    <t xml:space="preserve">FLOWERS          </t>
  </si>
  <si>
    <t xml:space="preserve">DAMONE     </t>
  </si>
  <si>
    <t xml:space="preserve">DEJA       </t>
  </si>
  <si>
    <t xml:space="preserve">LEONARD    </t>
  </si>
  <si>
    <t xml:space="preserve">RON        </t>
  </si>
  <si>
    <t xml:space="preserve">FLOYD            </t>
  </si>
  <si>
    <t xml:space="preserve">TYRONNE    </t>
  </si>
  <si>
    <t xml:space="preserve">FLUITT           </t>
  </si>
  <si>
    <t xml:space="preserve">KALA       </t>
  </si>
  <si>
    <t xml:space="preserve">KOLBY      </t>
  </si>
  <si>
    <t xml:space="preserve">FLUSCHE          </t>
  </si>
  <si>
    <t xml:space="preserve">FLYNN            </t>
  </si>
  <si>
    <t xml:space="preserve">FOCHT            </t>
  </si>
  <si>
    <t xml:space="preserve">FOEMAN           </t>
  </si>
  <si>
    <t xml:space="preserve">TALIQ      </t>
  </si>
  <si>
    <t xml:space="preserve">TIERRE     </t>
  </si>
  <si>
    <t xml:space="preserve">FOGG             </t>
  </si>
  <si>
    <t xml:space="preserve">FOLKS            </t>
  </si>
  <si>
    <t xml:space="preserve">REGGIE     </t>
  </si>
  <si>
    <t xml:space="preserve">FONSECA          </t>
  </si>
  <si>
    <t xml:space="preserve">BENNY      </t>
  </si>
  <si>
    <t xml:space="preserve">FOOTE            </t>
  </si>
  <si>
    <t xml:space="preserve">FORAKER          </t>
  </si>
  <si>
    <t xml:space="preserve">FORBES           </t>
  </si>
  <si>
    <t xml:space="preserve">FORD             </t>
  </si>
  <si>
    <t xml:space="preserve">FORDHAM          </t>
  </si>
  <si>
    <t xml:space="preserve">FOREMAN          </t>
  </si>
  <si>
    <t xml:space="preserve">ROMEL      </t>
  </si>
  <si>
    <t xml:space="preserve">FORENSKI         </t>
  </si>
  <si>
    <t xml:space="preserve">FORNEY           </t>
  </si>
  <si>
    <t xml:space="preserve">DERIC      </t>
  </si>
  <si>
    <t xml:space="preserve">FORSHEY          </t>
  </si>
  <si>
    <t xml:space="preserve">FORTT            </t>
  </si>
  <si>
    <t xml:space="preserve">AVONTAE    </t>
  </si>
  <si>
    <t xml:space="preserve">TSCHAKA    </t>
  </si>
  <si>
    <t xml:space="preserve">FOSTER           </t>
  </si>
  <si>
    <t xml:space="preserve">KRIS       </t>
  </si>
  <si>
    <t xml:space="preserve">MAJOR      </t>
  </si>
  <si>
    <t xml:space="preserve">TYRON      </t>
  </si>
  <si>
    <t xml:space="preserve">FOULK            </t>
  </si>
  <si>
    <t xml:space="preserve">FOUNTAIN         </t>
  </si>
  <si>
    <t xml:space="preserve">FUENTES    </t>
  </si>
  <si>
    <t xml:space="preserve">FOWLER           </t>
  </si>
  <si>
    <t xml:space="preserve">FOX              </t>
  </si>
  <si>
    <t xml:space="preserve">FRANCIS          </t>
  </si>
  <si>
    <t xml:space="preserve">FRANCISCO        </t>
  </si>
  <si>
    <t xml:space="preserve">FRANCKS          </t>
  </si>
  <si>
    <t xml:space="preserve">FRANCO           </t>
  </si>
  <si>
    <t xml:space="preserve">FRANKLIN         </t>
  </si>
  <si>
    <t xml:space="preserve">FRANKS           </t>
  </si>
  <si>
    <t xml:space="preserve">FRAY             </t>
  </si>
  <si>
    <t xml:space="preserve">FRAZIER          </t>
  </si>
  <si>
    <t xml:space="preserve">COOLIDGE   </t>
  </si>
  <si>
    <t xml:space="preserve">FREDERICK        </t>
  </si>
  <si>
    <t xml:space="preserve">KARL       </t>
  </si>
  <si>
    <t xml:space="preserve">MARKY      </t>
  </si>
  <si>
    <t xml:space="preserve">FREELAND         </t>
  </si>
  <si>
    <t xml:space="preserve">MELISSA    </t>
  </si>
  <si>
    <t xml:space="preserve">FREEMAN          </t>
  </si>
  <si>
    <t xml:space="preserve">FRENCH           </t>
  </si>
  <si>
    <t xml:space="preserve">FRICK            </t>
  </si>
  <si>
    <t xml:space="preserve">FRIEND           </t>
  </si>
  <si>
    <t xml:space="preserve">FRIENDS          </t>
  </si>
  <si>
    <t xml:space="preserve">SYNCERE    </t>
  </si>
  <si>
    <t xml:space="preserve">FRISBY           </t>
  </si>
  <si>
    <t xml:space="preserve">RIHEM      </t>
  </si>
  <si>
    <t xml:space="preserve">FRITZE           </t>
  </si>
  <si>
    <t xml:space="preserve">HANS       </t>
  </si>
  <si>
    <t xml:space="preserve">FROSTAD          </t>
  </si>
  <si>
    <t xml:space="preserve">FRYE             </t>
  </si>
  <si>
    <t xml:space="preserve">FUENTES          </t>
  </si>
  <si>
    <t xml:space="preserve">FULLER           </t>
  </si>
  <si>
    <t xml:space="preserve">RASHAN     </t>
  </si>
  <si>
    <t xml:space="preserve">FULLMAN          </t>
  </si>
  <si>
    <t xml:space="preserve">DASMEN     </t>
  </si>
  <si>
    <t xml:space="preserve">FULMORE          </t>
  </si>
  <si>
    <t xml:space="preserve">FULTON           </t>
  </si>
  <si>
    <t xml:space="preserve">FURLOW           </t>
  </si>
  <si>
    <t xml:space="preserve">TOSHAWN    </t>
  </si>
  <si>
    <t xml:space="preserve">GABRIEL          </t>
  </si>
  <si>
    <t xml:space="preserve">GADSON           </t>
  </si>
  <si>
    <t xml:space="preserve">LARRON     </t>
  </si>
  <si>
    <t xml:space="preserve">GAINES           </t>
  </si>
  <si>
    <t xml:space="preserve">JERMERE    </t>
  </si>
  <si>
    <t xml:space="preserve">GALE             </t>
  </si>
  <si>
    <t xml:space="preserve">GALINDEZ         </t>
  </si>
  <si>
    <t xml:space="preserve">FRANKIE    </t>
  </si>
  <si>
    <t xml:space="preserve">GALINDO          </t>
  </si>
  <si>
    <t xml:space="preserve">MILTON     </t>
  </si>
  <si>
    <t xml:space="preserve">GALLAGHER        </t>
  </si>
  <si>
    <t xml:space="preserve">GALLARDO         </t>
  </si>
  <si>
    <t xml:space="preserve">MARROQUI   </t>
  </si>
  <si>
    <t xml:space="preserve">GALLAWAY         </t>
  </si>
  <si>
    <t xml:space="preserve">GALLOWAY         </t>
  </si>
  <si>
    <t xml:space="preserve">KRISTOFER  </t>
  </si>
  <si>
    <t xml:space="preserve">GANNON           </t>
  </si>
  <si>
    <t xml:space="preserve">GANTT            </t>
  </si>
  <si>
    <t xml:space="preserve">MARQUSE    </t>
  </si>
  <si>
    <t xml:space="preserve">GARCES           </t>
  </si>
  <si>
    <t xml:space="preserve">GARCIA           </t>
  </si>
  <si>
    <t xml:space="preserve">CECILIO    </t>
  </si>
  <si>
    <t xml:space="preserve">EMANUEL    </t>
  </si>
  <si>
    <t xml:space="preserve">GARCIA ANTONIO   </t>
  </si>
  <si>
    <t>CARLOS EDUA</t>
  </si>
  <si>
    <t xml:space="preserve">GARCIA-REYES     </t>
  </si>
  <si>
    <t xml:space="preserve">TARCIZIO   </t>
  </si>
  <si>
    <t xml:space="preserve">AIGNER     </t>
  </si>
  <si>
    <t xml:space="preserve">GARDUNO          </t>
  </si>
  <si>
    <t xml:space="preserve">GERARDO    </t>
  </si>
  <si>
    <t xml:space="preserve">GARIBALDI        </t>
  </si>
  <si>
    <t xml:space="preserve">GARNER           </t>
  </si>
  <si>
    <t xml:space="preserve">GARNETT          </t>
  </si>
  <si>
    <t xml:space="preserve">GARRETT          </t>
  </si>
  <si>
    <t xml:space="preserve">GARRISON         </t>
  </si>
  <si>
    <t xml:space="preserve">TREMAYNE   </t>
  </si>
  <si>
    <t xml:space="preserve">GARVEY           </t>
  </si>
  <si>
    <t xml:space="preserve">GARVIN           </t>
  </si>
  <si>
    <t xml:space="preserve">DONOVAN    </t>
  </si>
  <si>
    <t xml:space="preserve">GARY             </t>
  </si>
  <si>
    <t xml:space="preserve">YASIN      </t>
  </si>
  <si>
    <t xml:space="preserve">GARZA            </t>
  </si>
  <si>
    <t xml:space="preserve">MARIO      </t>
  </si>
  <si>
    <t xml:space="preserve">SEFERINO   </t>
  </si>
  <si>
    <t xml:space="preserve">GATEWOOD         </t>
  </si>
  <si>
    <t xml:space="preserve">GATHERS          </t>
  </si>
  <si>
    <t xml:space="preserve">ZONO       </t>
  </si>
  <si>
    <t xml:space="preserve">GATLIN           </t>
  </si>
  <si>
    <t xml:space="preserve">LUKEWILLIS </t>
  </si>
  <si>
    <t xml:space="preserve">GATTIS           </t>
  </si>
  <si>
    <t xml:space="preserve">ROSHAWN    </t>
  </si>
  <si>
    <t xml:space="preserve">GAVIN            </t>
  </si>
  <si>
    <t xml:space="preserve">KEVON      </t>
  </si>
  <si>
    <t xml:space="preserve">GAYLES           </t>
  </si>
  <si>
    <t xml:space="preserve">SHERIDAN   </t>
  </si>
  <si>
    <t xml:space="preserve">GEE              </t>
  </si>
  <si>
    <t xml:space="preserve">RAHSAAN    </t>
  </si>
  <si>
    <t xml:space="preserve">TERRELL    </t>
  </si>
  <si>
    <t xml:space="preserve">GEER             </t>
  </si>
  <si>
    <t xml:space="preserve">GEISER           </t>
  </si>
  <si>
    <t xml:space="preserve">GEORGE           </t>
  </si>
  <si>
    <t xml:space="preserve">MONIR      </t>
  </si>
  <si>
    <t xml:space="preserve">GERMAN           </t>
  </si>
  <si>
    <t xml:space="preserve">GETZ             </t>
  </si>
  <si>
    <t xml:space="preserve">GIBBS            </t>
  </si>
  <si>
    <t xml:space="preserve">AERON      </t>
  </si>
  <si>
    <t xml:space="preserve">MYRON      </t>
  </si>
  <si>
    <t xml:space="preserve">NEKI       </t>
  </si>
  <si>
    <t xml:space="preserve">GIBBSON          </t>
  </si>
  <si>
    <t xml:space="preserve">GIBSON           </t>
  </si>
  <si>
    <t xml:space="preserve">DERRIS     </t>
  </si>
  <si>
    <t xml:space="preserve">LAQUAN     </t>
  </si>
  <si>
    <t xml:space="preserve">WANYA      </t>
  </si>
  <si>
    <t xml:space="preserve">GIERON           </t>
  </si>
  <si>
    <t xml:space="preserve">GILBERT          </t>
  </si>
  <si>
    <t xml:space="preserve">KERI       </t>
  </si>
  <si>
    <t xml:space="preserve">VANLEER    </t>
  </si>
  <si>
    <t xml:space="preserve">ZECHARIAH  </t>
  </si>
  <si>
    <t xml:space="preserve">GILES            </t>
  </si>
  <si>
    <t xml:space="preserve">KASEEM     </t>
  </si>
  <si>
    <t xml:space="preserve">GILL             </t>
  </si>
  <si>
    <t xml:space="preserve">GILLIAM          </t>
  </si>
  <si>
    <t xml:space="preserve">GILLIS           </t>
  </si>
  <si>
    <t xml:space="preserve">VURNIS     </t>
  </si>
  <si>
    <t xml:space="preserve">GILLUMS          </t>
  </si>
  <si>
    <t xml:space="preserve">GILMORE          </t>
  </si>
  <si>
    <t xml:space="preserve">CECIL      </t>
  </si>
  <si>
    <t xml:space="preserve">GIVENS           </t>
  </si>
  <si>
    <t xml:space="preserve">GLADDEN          </t>
  </si>
  <si>
    <t xml:space="preserve">GLADFELTER       </t>
  </si>
  <si>
    <t xml:space="preserve">CHAD       </t>
  </si>
  <si>
    <t xml:space="preserve">GLASCOE          </t>
  </si>
  <si>
    <t xml:space="preserve">GLASS            </t>
  </si>
  <si>
    <t xml:space="preserve">GLENN            </t>
  </si>
  <si>
    <t xml:space="preserve">HIKEEM     </t>
  </si>
  <si>
    <t xml:space="preserve">GLOVER           </t>
  </si>
  <si>
    <t xml:space="preserve">GODDARD          </t>
  </si>
  <si>
    <t xml:space="preserve">REGENT     </t>
  </si>
  <si>
    <t xml:space="preserve">GOFF             </t>
  </si>
  <si>
    <t xml:space="preserve">ALICE      </t>
  </si>
  <si>
    <t xml:space="preserve">GOICURIA         </t>
  </si>
  <si>
    <t xml:space="preserve">GOLDSBOROUGH     </t>
  </si>
  <si>
    <t xml:space="preserve">DHRON      </t>
  </si>
  <si>
    <t xml:space="preserve">GOLDSON          </t>
  </si>
  <si>
    <t xml:space="preserve">SAMADNI    </t>
  </si>
  <si>
    <t xml:space="preserve">GOMEZ            </t>
  </si>
  <si>
    <t xml:space="preserve">LEONARDO   </t>
  </si>
  <si>
    <t>GONZALESVELASQUEZ</t>
  </si>
  <si>
    <t xml:space="preserve">GONZALEZ         </t>
  </si>
  <si>
    <t>GONZALEZ RODRIGUE</t>
  </si>
  <si>
    <t xml:space="preserve">INGRID     </t>
  </si>
  <si>
    <t>GONZALEZ-RODRIGUE</t>
  </si>
  <si>
    <t xml:space="preserve">GONZALEZ-ROJAS   </t>
  </si>
  <si>
    <t xml:space="preserve">GOODCHILD        </t>
  </si>
  <si>
    <t xml:space="preserve">GOODE            </t>
  </si>
  <si>
    <t xml:space="preserve">JHAVON     </t>
  </si>
  <si>
    <t xml:space="preserve">GOODMAN          </t>
  </si>
  <si>
    <t xml:space="preserve">RASHAD     </t>
  </si>
  <si>
    <t xml:space="preserve">GOODWIN          </t>
  </si>
  <si>
    <t xml:space="preserve">TIMMY      </t>
  </si>
  <si>
    <t xml:space="preserve">GORDON           </t>
  </si>
  <si>
    <t xml:space="preserve">PRINCE     </t>
  </si>
  <si>
    <t xml:space="preserve">GOSA             </t>
  </si>
  <si>
    <t xml:space="preserve">NAHEEM     </t>
  </si>
  <si>
    <t xml:space="preserve">GOULD            </t>
  </si>
  <si>
    <t xml:space="preserve">SYLVESTER  </t>
  </si>
  <si>
    <t xml:space="preserve">GOVAN            </t>
  </si>
  <si>
    <t xml:space="preserve">GOVIN            </t>
  </si>
  <si>
    <t xml:space="preserve">GRABOWSKI        </t>
  </si>
  <si>
    <t xml:space="preserve">GRAHAM           </t>
  </si>
  <si>
    <t xml:space="preserve">RANDOLPH   </t>
  </si>
  <si>
    <t xml:space="preserve">SHALEIR    </t>
  </si>
  <si>
    <t xml:space="preserve">GRANADOS-FUENTES </t>
  </si>
  <si>
    <t xml:space="preserve">GRANT            </t>
  </si>
  <si>
    <t xml:space="preserve">GRANTHAM         </t>
  </si>
  <si>
    <t xml:space="preserve">GRASTY           </t>
  </si>
  <si>
    <t xml:space="preserve">GRAVER           </t>
  </si>
  <si>
    <t xml:space="preserve">GRAVES           </t>
  </si>
  <si>
    <t xml:space="preserve">KAMAU      </t>
  </si>
  <si>
    <t xml:space="preserve">GRAY             </t>
  </si>
  <si>
    <t xml:space="preserve">CASSANDRA  </t>
  </si>
  <si>
    <t xml:space="preserve">GERAND     </t>
  </si>
  <si>
    <t xml:space="preserve">MAUREEN    </t>
  </si>
  <si>
    <t xml:space="preserve">GRAYSON          </t>
  </si>
  <si>
    <t xml:space="preserve">DANA       </t>
  </si>
  <si>
    <t xml:space="preserve">DUBONETTE  </t>
  </si>
  <si>
    <t xml:space="preserve">WILLIS     </t>
  </si>
  <si>
    <t xml:space="preserve">GREEN            </t>
  </si>
  <si>
    <t xml:space="preserve">CARY       </t>
  </si>
  <si>
    <t xml:space="preserve">PATTERSON  </t>
  </si>
  <si>
    <t xml:space="preserve">GREENBERG        </t>
  </si>
  <si>
    <t xml:space="preserve">IRVING     </t>
  </si>
  <si>
    <t xml:space="preserve">GREENE           </t>
  </si>
  <si>
    <t xml:space="preserve">GREENFIELD       </t>
  </si>
  <si>
    <t xml:space="preserve">TANASIA    </t>
  </si>
  <si>
    <t xml:space="preserve">GREENWELL        </t>
  </si>
  <si>
    <t xml:space="preserve">BRYON      </t>
  </si>
  <si>
    <t xml:space="preserve">GREER            </t>
  </si>
  <si>
    <t xml:space="preserve">GREGG            </t>
  </si>
  <si>
    <t xml:space="preserve">GREGORY          </t>
  </si>
  <si>
    <t xml:space="preserve">RAMEE      </t>
  </si>
  <si>
    <t xml:space="preserve">RASBERRY   </t>
  </si>
  <si>
    <t xml:space="preserve">GRIER            </t>
  </si>
  <si>
    <t xml:space="preserve">JABAR      </t>
  </si>
  <si>
    <t xml:space="preserve">JAMONN     </t>
  </si>
  <si>
    <t xml:space="preserve">GRIFFIN          </t>
  </si>
  <si>
    <t xml:space="preserve">ANSHAWN    </t>
  </si>
  <si>
    <t xml:space="preserve">DEBORAH    </t>
  </si>
  <si>
    <t xml:space="preserve">TYERIN     </t>
  </si>
  <si>
    <t xml:space="preserve">GRIFFITH         </t>
  </si>
  <si>
    <t xml:space="preserve">CHANDLER   </t>
  </si>
  <si>
    <t xml:space="preserve">EDWARDO    </t>
  </si>
  <si>
    <t xml:space="preserve">JILL       </t>
  </si>
  <si>
    <t xml:space="preserve">GRIM             </t>
  </si>
  <si>
    <t xml:space="preserve">GRIMES           </t>
  </si>
  <si>
    <t xml:space="preserve">GRINE            </t>
  </si>
  <si>
    <t xml:space="preserve">GRINNAGE         </t>
  </si>
  <si>
    <t xml:space="preserve">GROCE            </t>
  </si>
  <si>
    <t xml:space="preserve">GROOMS           </t>
  </si>
  <si>
    <t xml:space="preserve">GRUNZA           </t>
  </si>
  <si>
    <t xml:space="preserve">GRZYBOWSKI       </t>
  </si>
  <si>
    <t xml:space="preserve">GUADARRAMA       </t>
  </si>
  <si>
    <t xml:space="preserve">GUARDARRAMA      </t>
  </si>
  <si>
    <t xml:space="preserve">GUBBINS          </t>
  </si>
  <si>
    <t xml:space="preserve">GUENTHER         </t>
  </si>
  <si>
    <t xml:space="preserve">ODELL      </t>
  </si>
  <si>
    <t xml:space="preserve">GUERRA           </t>
  </si>
  <si>
    <t xml:space="preserve">GUICHARD         </t>
  </si>
  <si>
    <t xml:space="preserve">TRYSTAN    </t>
  </si>
  <si>
    <t xml:space="preserve">GUILFOIL         </t>
  </si>
  <si>
    <t xml:space="preserve">GUILFORD         </t>
  </si>
  <si>
    <t xml:space="preserve">SHAQUAN    </t>
  </si>
  <si>
    <t xml:space="preserve">GUNN             </t>
  </si>
  <si>
    <t xml:space="preserve">GUSEMAN          </t>
  </si>
  <si>
    <t xml:space="preserve">GUTHRIE          </t>
  </si>
  <si>
    <t xml:space="preserve">GUTRIDGE         </t>
  </si>
  <si>
    <t xml:space="preserve">GUY              </t>
  </si>
  <si>
    <t xml:space="preserve">GUZMAN           </t>
  </si>
  <si>
    <t xml:space="preserve">RADAMES    </t>
  </si>
  <si>
    <t xml:space="preserve">GUZMAN-GARCIA    </t>
  </si>
  <si>
    <t xml:space="preserve">HACKETT          </t>
  </si>
  <si>
    <t xml:space="preserve">ALDRICH    </t>
  </si>
  <si>
    <t xml:space="preserve">ANWAR      </t>
  </si>
  <si>
    <t xml:space="preserve">HADDAWAY         </t>
  </si>
  <si>
    <t xml:space="preserve">HADLEY           </t>
  </si>
  <si>
    <t xml:space="preserve">COMAR      </t>
  </si>
  <si>
    <t xml:space="preserve">HAGERTY          </t>
  </si>
  <si>
    <t xml:space="preserve">HAGINS           </t>
  </si>
  <si>
    <t xml:space="preserve">HAGLID           </t>
  </si>
  <si>
    <t xml:space="preserve">CLARISSA   </t>
  </si>
  <si>
    <t xml:space="preserve">HAINES           </t>
  </si>
  <si>
    <t xml:space="preserve">HAINEY           </t>
  </si>
  <si>
    <t xml:space="preserve">HAIRSTON         </t>
  </si>
  <si>
    <t xml:space="preserve">HALE             </t>
  </si>
  <si>
    <t xml:space="preserve">HALEY            </t>
  </si>
  <si>
    <t xml:space="preserve">REBECCA    </t>
  </si>
  <si>
    <t xml:space="preserve">HALL             </t>
  </si>
  <si>
    <t xml:space="preserve">BRICE      </t>
  </si>
  <si>
    <t xml:space="preserve">GIBSON     </t>
  </si>
  <si>
    <t xml:space="preserve">LYDELL     </t>
  </si>
  <si>
    <t xml:space="preserve">QUAHEEM    </t>
  </si>
  <si>
    <t xml:space="preserve">SHYQUAN    </t>
  </si>
  <si>
    <t xml:space="preserve">TERVONE    </t>
  </si>
  <si>
    <t xml:space="preserve">THEODORE   </t>
  </si>
  <si>
    <t xml:space="preserve">HALLIGAN         </t>
  </si>
  <si>
    <t xml:space="preserve">LEAH       </t>
  </si>
  <si>
    <t xml:space="preserve">HAMAN            </t>
  </si>
  <si>
    <t xml:space="preserve">HAMILTON         </t>
  </si>
  <si>
    <t xml:space="preserve">CORTEZ     </t>
  </si>
  <si>
    <t xml:space="preserve">GREG       </t>
  </si>
  <si>
    <t xml:space="preserve">PARRIS     </t>
  </si>
  <si>
    <t xml:space="preserve">HAMLIN           </t>
  </si>
  <si>
    <t xml:space="preserve">DIMITRIUS  </t>
  </si>
  <si>
    <t xml:space="preserve">HAMMOND          </t>
  </si>
  <si>
    <t xml:space="preserve">BRAYAN     </t>
  </si>
  <si>
    <t xml:space="preserve">STEPHON    </t>
  </si>
  <si>
    <t xml:space="preserve">HAMMONS          </t>
  </si>
  <si>
    <t xml:space="preserve">HAMPTON          </t>
  </si>
  <si>
    <t xml:space="preserve">TARON      </t>
  </si>
  <si>
    <t xml:space="preserve">HANBY            </t>
  </si>
  <si>
    <t xml:space="preserve">TYKEASE    </t>
  </si>
  <si>
    <t xml:space="preserve">HANCOCK          </t>
  </si>
  <si>
    <t xml:space="preserve">KENNEDY    </t>
  </si>
  <si>
    <t xml:space="preserve">HAND             </t>
  </si>
  <si>
    <t xml:space="preserve">HANDY            </t>
  </si>
  <si>
    <t xml:space="preserve">ALZERE     </t>
  </si>
  <si>
    <t xml:space="preserve">DAWAND     </t>
  </si>
  <si>
    <t xml:space="preserve">KHADAPHI   </t>
  </si>
  <si>
    <t xml:space="preserve">RAYFIELD   </t>
  </si>
  <si>
    <t xml:space="preserve">HANKINS          </t>
  </si>
  <si>
    <t xml:space="preserve">HANSLEY          </t>
  </si>
  <si>
    <t xml:space="preserve">DONJUAN    </t>
  </si>
  <si>
    <t xml:space="preserve">NICHOLE    </t>
  </si>
  <si>
    <t xml:space="preserve">HANZER           </t>
  </si>
  <si>
    <t xml:space="preserve">KHALIL     </t>
  </si>
  <si>
    <t xml:space="preserve">KHAREIM    </t>
  </si>
  <si>
    <t xml:space="preserve">KHILHEIM   </t>
  </si>
  <si>
    <t xml:space="preserve">HARDEN           </t>
  </si>
  <si>
    <t xml:space="preserve">HARDING          </t>
  </si>
  <si>
    <t xml:space="preserve">HARDWICK         </t>
  </si>
  <si>
    <t xml:space="preserve">HARDY            </t>
  </si>
  <si>
    <t xml:space="preserve">MARQUIVUS  </t>
  </si>
  <si>
    <t xml:space="preserve">PLEASANT   </t>
  </si>
  <si>
    <t xml:space="preserve">HARGRAVES        </t>
  </si>
  <si>
    <t xml:space="preserve">HARGROVES        </t>
  </si>
  <si>
    <t xml:space="preserve">DAYQUAN    </t>
  </si>
  <si>
    <t xml:space="preserve">HARGROW          </t>
  </si>
  <si>
    <t xml:space="preserve">RAHIM      </t>
  </si>
  <si>
    <t xml:space="preserve">HARKINS          </t>
  </si>
  <si>
    <t xml:space="preserve">ZACHARIAH  </t>
  </si>
  <si>
    <t xml:space="preserve">HARLEY           </t>
  </si>
  <si>
    <t xml:space="preserve">HARMAN           </t>
  </si>
  <si>
    <t xml:space="preserve">HARMON           </t>
  </si>
  <si>
    <t xml:space="preserve">DA MIER    </t>
  </si>
  <si>
    <t xml:space="preserve">DARTEZ     </t>
  </si>
  <si>
    <t xml:space="preserve">DURWIN     </t>
  </si>
  <si>
    <t xml:space="preserve">KWAME      </t>
  </si>
  <si>
    <t xml:space="preserve">RALPH      </t>
  </si>
  <si>
    <t xml:space="preserve">RASHAI     </t>
  </si>
  <si>
    <t xml:space="preserve">ZHYHEE     </t>
  </si>
  <si>
    <t xml:space="preserve">HARPER           </t>
  </si>
  <si>
    <t xml:space="preserve">ERROLL     </t>
  </si>
  <si>
    <t xml:space="preserve">HARRELL          </t>
  </si>
  <si>
    <t xml:space="preserve">BOBBIE     </t>
  </si>
  <si>
    <t xml:space="preserve">HARRINGTON       </t>
  </si>
  <si>
    <t xml:space="preserve">DESTINY    </t>
  </si>
  <si>
    <t xml:space="preserve">HARRIOTT         </t>
  </si>
  <si>
    <t xml:space="preserve">WILLE      </t>
  </si>
  <si>
    <t xml:space="preserve">HARRIS           </t>
  </si>
  <si>
    <t xml:space="preserve">DAMIERE    </t>
  </si>
  <si>
    <t xml:space="preserve">DAWAN      </t>
  </si>
  <si>
    <t xml:space="preserve">DEMON      </t>
  </si>
  <si>
    <t xml:space="preserve">DESHAUN    </t>
  </si>
  <si>
    <t xml:space="preserve">GINO       </t>
  </si>
  <si>
    <t xml:space="preserve">JOHNDELL   </t>
  </si>
  <si>
    <t xml:space="preserve">JORDON     </t>
  </si>
  <si>
    <t xml:space="preserve">LAVAR      </t>
  </si>
  <si>
    <t xml:space="preserve">LOR        </t>
  </si>
  <si>
    <t xml:space="preserve">LYNN       </t>
  </si>
  <si>
    <t xml:space="preserve">MYLES      </t>
  </si>
  <si>
    <t xml:space="preserve">RASAUN     </t>
  </si>
  <si>
    <t xml:space="preserve">RASHIE     </t>
  </si>
  <si>
    <t xml:space="preserve">REGINALD   </t>
  </si>
  <si>
    <t xml:space="preserve">SEQUOYAH   </t>
  </si>
  <si>
    <t xml:space="preserve">YAMIR      </t>
  </si>
  <si>
    <t xml:space="preserve">HARRISON         </t>
  </si>
  <si>
    <t xml:space="preserve">HARROLD          </t>
  </si>
  <si>
    <t xml:space="preserve">HART             </t>
  </si>
  <si>
    <t xml:space="preserve">HARTMAN          </t>
  </si>
  <si>
    <t xml:space="preserve">HARTMANN         </t>
  </si>
  <si>
    <t xml:space="preserve">DETLEF     </t>
  </si>
  <si>
    <t xml:space="preserve">HARTNETT         </t>
  </si>
  <si>
    <t xml:space="preserve">HARVEY           </t>
  </si>
  <si>
    <t xml:space="preserve">CHRISTINA  </t>
  </si>
  <si>
    <t xml:space="preserve">JAVONE     </t>
  </si>
  <si>
    <t xml:space="preserve">HASSANEL         </t>
  </si>
  <si>
    <t xml:space="preserve">AKBAR      </t>
  </si>
  <si>
    <t xml:space="preserve">HASSETT          </t>
  </si>
  <si>
    <t xml:space="preserve">HASTINGS         </t>
  </si>
  <si>
    <t xml:space="preserve">HAUSER           </t>
  </si>
  <si>
    <t xml:space="preserve">HAVENER          </t>
  </si>
  <si>
    <t xml:space="preserve">HAWKINS          </t>
  </si>
  <si>
    <t xml:space="preserve">DAVANTE    </t>
  </si>
  <si>
    <t xml:space="preserve">GARRETT    </t>
  </si>
  <si>
    <t xml:space="preserve">RICKEY     </t>
  </si>
  <si>
    <t xml:space="preserve">HAWTHORNE        </t>
  </si>
  <si>
    <t xml:space="preserve">TYREESE    </t>
  </si>
  <si>
    <t xml:space="preserve">HAYES            </t>
  </si>
  <si>
    <t xml:space="preserve">HAYMAN           </t>
  </si>
  <si>
    <t xml:space="preserve">HAYMOND          </t>
  </si>
  <si>
    <t xml:space="preserve">HAYNES           </t>
  </si>
  <si>
    <t xml:space="preserve">HORACE     </t>
  </si>
  <si>
    <t xml:space="preserve">HAZZARD          </t>
  </si>
  <si>
    <t xml:space="preserve">HEALD            </t>
  </si>
  <si>
    <t xml:space="preserve">DARTH      </t>
  </si>
  <si>
    <t xml:space="preserve">HEARN            </t>
  </si>
  <si>
    <t xml:space="preserve">HEARNE           </t>
  </si>
  <si>
    <t xml:space="preserve">HEATH            </t>
  </si>
  <si>
    <t xml:space="preserve">MELANIE    </t>
  </si>
  <si>
    <t xml:space="preserve">HEISTERMAN       </t>
  </si>
  <si>
    <t xml:space="preserve">HELLER           </t>
  </si>
  <si>
    <t xml:space="preserve">HELM             </t>
  </si>
  <si>
    <t xml:space="preserve">HENDERSON        </t>
  </si>
  <si>
    <t xml:space="preserve">LEWIS      </t>
  </si>
  <si>
    <t xml:space="preserve">TAYHEIM    </t>
  </si>
  <si>
    <t xml:space="preserve">TERNELL    </t>
  </si>
  <si>
    <t xml:space="preserve">HENRY            </t>
  </si>
  <si>
    <t xml:space="preserve">NAZIR      </t>
  </si>
  <si>
    <t xml:space="preserve">RUBIN      </t>
  </si>
  <si>
    <t xml:space="preserve">WARNER     </t>
  </si>
  <si>
    <t xml:space="preserve">HENSLEY          </t>
  </si>
  <si>
    <t xml:space="preserve">HENSON           </t>
  </si>
  <si>
    <t xml:space="preserve">HEPNER           </t>
  </si>
  <si>
    <t xml:space="preserve">HERKINS          </t>
  </si>
  <si>
    <t xml:space="preserve">HERNADEZ         </t>
  </si>
  <si>
    <t xml:space="preserve">HERNANDEZ        </t>
  </si>
  <si>
    <t xml:space="preserve">EZEQUIEL   </t>
  </si>
  <si>
    <t xml:space="preserve">JORGE      </t>
  </si>
  <si>
    <t>HERNANDEZ-DOMINGU</t>
  </si>
  <si>
    <t xml:space="preserve">CAYETANO   </t>
  </si>
  <si>
    <t xml:space="preserve">HERNANDEZ-VARGAS </t>
  </si>
  <si>
    <t xml:space="preserve">HERRING          </t>
  </si>
  <si>
    <t xml:space="preserve">CAM        </t>
  </si>
  <si>
    <t xml:space="preserve">HERRON           </t>
  </si>
  <si>
    <t xml:space="preserve">HESTER           </t>
  </si>
  <si>
    <t xml:space="preserve">HIBBS            </t>
  </si>
  <si>
    <t xml:space="preserve">HICKERNELL       </t>
  </si>
  <si>
    <t xml:space="preserve">HICKMAN          </t>
  </si>
  <si>
    <t xml:space="preserve">HICKS            </t>
  </si>
  <si>
    <t>BARTHOLOMEW</t>
  </si>
  <si>
    <t xml:space="preserve">HIGHT            </t>
  </si>
  <si>
    <t xml:space="preserve">HIGNUTT          </t>
  </si>
  <si>
    <t xml:space="preserve">HILL             </t>
  </si>
  <si>
    <t xml:space="preserve">HILTON           </t>
  </si>
  <si>
    <t xml:space="preserve">AQUAN      </t>
  </si>
  <si>
    <t xml:space="preserve">HINES            </t>
  </si>
  <si>
    <t xml:space="preserve">LOUIS      </t>
  </si>
  <si>
    <t xml:space="preserve">HINSON           </t>
  </si>
  <si>
    <t xml:space="preserve">HITCH            </t>
  </si>
  <si>
    <t xml:space="preserve">HITCHENS         </t>
  </si>
  <si>
    <t xml:space="preserve">TRENT      </t>
  </si>
  <si>
    <t xml:space="preserve">HOBBS            </t>
  </si>
  <si>
    <t xml:space="preserve">HOFFRAGE         </t>
  </si>
  <si>
    <t xml:space="preserve">HOGUE            </t>
  </si>
  <si>
    <t xml:space="preserve">HOLBEN           </t>
  </si>
  <si>
    <t xml:space="preserve">HOLDER           </t>
  </si>
  <si>
    <t xml:space="preserve">ORBBY      </t>
  </si>
  <si>
    <t xml:space="preserve">HOLIDAY          </t>
  </si>
  <si>
    <t xml:space="preserve">HOLLAND          </t>
  </si>
  <si>
    <t xml:space="preserve">HOLLINGSWORTH    </t>
  </si>
  <si>
    <t xml:space="preserve">HOLLIS           </t>
  </si>
  <si>
    <t xml:space="preserve">CHAKA      </t>
  </si>
  <si>
    <t xml:space="preserve">IRENE      </t>
  </si>
  <si>
    <t xml:space="preserve">HOLLMAN          </t>
  </si>
  <si>
    <t xml:space="preserve">HOLLOBAUGH       </t>
  </si>
  <si>
    <t xml:space="preserve">HOLLOMAN         </t>
  </si>
  <si>
    <t xml:space="preserve">HOLMES           </t>
  </si>
  <si>
    <t xml:space="preserve">GERALYN    </t>
  </si>
  <si>
    <t xml:space="preserve">KINDEN     </t>
  </si>
  <si>
    <t xml:space="preserve">HOLROYD          </t>
  </si>
  <si>
    <t xml:space="preserve">KIRK       </t>
  </si>
  <si>
    <t xml:space="preserve">HOLSTON          </t>
  </si>
  <si>
    <t xml:space="preserve">HOLT             </t>
  </si>
  <si>
    <t xml:space="preserve">JOSH       </t>
  </si>
  <si>
    <t xml:space="preserve">HOLTON           </t>
  </si>
  <si>
    <t xml:space="preserve">BRYCE      </t>
  </si>
  <si>
    <t xml:space="preserve">HONAKER          </t>
  </si>
  <si>
    <t xml:space="preserve">ALEXIS     </t>
  </si>
  <si>
    <t xml:space="preserve">HONAN            </t>
  </si>
  <si>
    <t xml:space="preserve">HONEYCUTT        </t>
  </si>
  <si>
    <t xml:space="preserve">HOOD             </t>
  </si>
  <si>
    <t xml:space="preserve">HOOKER           </t>
  </si>
  <si>
    <t xml:space="preserve">HOOKS            </t>
  </si>
  <si>
    <t xml:space="preserve">DWAHN      </t>
  </si>
  <si>
    <t xml:space="preserve">HOPKINS          </t>
  </si>
  <si>
    <t xml:space="preserve">HOPSON-EL        </t>
  </si>
  <si>
    <t xml:space="preserve">JEWAAN     </t>
  </si>
  <si>
    <t xml:space="preserve">HORSEY           </t>
  </si>
  <si>
    <t xml:space="preserve">HOPE       </t>
  </si>
  <si>
    <t xml:space="preserve">NACARLOS   </t>
  </si>
  <si>
    <t xml:space="preserve">HORTA            </t>
  </si>
  <si>
    <t xml:space="preserve">DAEVON     </t>
  </si>
  <si>
    <t xml:space="preserve">KASON      </t>
  </si>
  <si>
    <t xml:space="preserve">HOSKINS          </t>
  </si>
  <si>
    <t xml:space="preserve">HILTON     </t>
  </si>
  <si>
    <t xml:space="preserve">TREMEIN    </t>
  </si>
  <si>
    <t xml:space="preserve">WYNDELL    </t>
  </si>
  <si>
    <t xml:space="preserve">HOSTUTLER        </t>
  </si>
  <si>
    <t xml:space="preserve">HOUSER           </t>
  </si>
  <si>
    <t xml:space="preserve">HOUSTON          </t>
  </si>
  <si>
    <t xml:space="preserve">NAIFECE    </t>
  </si>
  <si>
    <t xml:space="preserve">ROLLIN     </t>
  </si>
  <si>
    <t xml:space="preserve">HOWARD           </t>
  </si>
  <si>
    <t xml:space="preserve">NYMERE     </t>
  </si>
  <si>
    <t xml:space="preserve">HOWELL           </t>
  </si>
  <si>
    <t xml:space="preserve">FAION      </t>
  </si>
  <si>
    <t xml:space="preserve">KARIEEM    </t>
  </si>
  <si>
    <t xml:space="preserve">MALIQUE    </t>
  </si>
  <si>
    <t xml:space="preserve">HOWLAND          </t>
  </si>
  <si>
    <t xml:space="preserve">HOXTER           </t>
  </si>
  <si>
    <t xml:space="preserve">JAMESON    </t>
  </si>
  <si>
    <t xml:space="preserve">HOY              </t>
  </si>
  <si>
    <t xml:space="preserve">HOYLE            </t>
  </si>
  <si>
    <t xml:space="preserve">HOYLMAN          </t>
  </si>
  <si>
    <t xml:space="preserve">HRYNYSHYN        </t>
  </si>
  <si>
    <t xml:space="preserve">HUBBARD          </t>
  </si>
  <si>
    <t xml:space="preserve">ALFRED     </t>
  </si>
  <si>
    <t xml:space="preserve">ANEL       </t>
  </si>
  <si>
    <t xml:space="preserve">JALEN      </t>
  </si>
  <si>
    <t xml:space="preserve">TYREK      </t>
  </si>
  <si>
    <t xml:space="preserve">HUDSON           </t>
  </si>
  <si>
    <t xml:space="preserve">KWESI      </t>
  </si>
  <si>
    <t xml:space="preserve">MORRIS     </t>
  </si>
  <si>
    <t xml:space="preserve">HUEY             </t>
  </si>
  <si>
    <t xml:space="preserve">HUFFMAN          </t>
  </si>
  <si>
    <t xml:space="preserve">FRED       </t>
  </si>
  <si>
    <t xml:space="preserve">HUFFSTUTLER      </t>
  </si>
  <si>
    <t xml:space="preserve">HUFNELL          </t>
  </si>
  <si>
    <t xml:space="preserve">ZACHARY    </t>
  </si>
  <si>
    <t xml:space="preserve">LLOYD      </t>
  </si>
  <si>
    <t xml:space="preserve">HUGHES           </t>
  </si>
  <si>
    <t xml:space="preserve">HUGHES-WARREN    </t>
  </si>
  <si>
    <t xml:space="preserve">DAMIR      </t>
  </si>
  <si>
    <t xml:space="preserve">HULL             </t>
  </si>
  <si>
    <t xml:space="preserve">HULSEY           </t>
  </si>
  <si>
    <t xml:space="preserve">HULSTINE         </t>
  </si>
  <si>
    <t xml:space="preserve">HUMBERSTON       </t>
  </si>
  <si>
    <t xml:space="preserve">HUMBERTSON       </t>
  </si>
  <si>
    <t xml:space="preserve">HUNDLEY          </t>
  </si>
  <si>
    <t xml:space="preserve">DOYLE      </t>
  </si>
  <si>
    <t xml:space="preserve">HUNT             </t>
  </si>
  <si>
    <t xml:space="preserve">TAQUIAN    </t>
  </si>
  <si>
    <t xml:space="preserve">HUNTER           </t>
  </si>
  <si>
    <t xml:space="preserve">ELWOOD     </t>
  </si>
  <si>
    <t xml:space="preserve">JABRI      </t>
  </si>
  <si>
    <t xml:space="preserve">MARION     </t>
  </si>
  <si>
    <t xml:space="preserve">SHACIR     </t>
  </si>
  <si>
    <t xml:space="preserve">HUNTOON          </t>
  </si>
  <si>
    <t xml:space="preserve">LINCOLN    </t>
  </si>
  <si>
    <t xml:space="preserve">HUNTSMAN         </t>
  </si>
  <si>
    <t xml:space="preserve">HUNTZBERRY       </t>
  </si>
  <si>
    <t xml:space="preserve">HURD             </t>
  </si>
  <si>
    <t xml:space="preserve">HURLEY           </t>
  </si>
  <si>
    <t xml:space="preserve">DOMINIC    </t>
  </si>
  <si>
    <t xml:space="preserve">RICHIE     </t>
  </si>
  <si>
    <t xml:space="preserve">HURST            </t>
  </si>
  <si>
    <t xml:space="preserve">HUSFELT          </t>
  </si>
  <si>
    <t xml:space="preserve">BRADFORD   </t>
  </si>
  <si>
    <t xml:space="preserve">HUTCHINS         </t>
  </si>
  <si>
    <t xml:space="preserve">RANDALL    </t>
  </si>
  <si>
    <t xml:space="preserve">HUTCHISON        </t>
  </si>
  <si>
    <t xml:space="preserve">HYLAND           </t>
  </si>
  <si>
    <t xml:space="preserve">IFILL            </t>
  </si>
  <si>
    <t xml:space="preserve">IMLE             </t>
  </si>
  <si>
    <t xml:space="preserve">IMWOLD           </t>
  </si>
  <si>
    <t xml:space="preserve">INGRAM           </t>
  </si>
  <si>
    <t xml:space="preserve">ARLANDO    </t>
  </si>
  <si>
    <t xml:space="preserve">NAQUAUN    </t>
  </si>
  <si>
    <t xml:space="preserve">IRVIN            </t>
  </si>
  <si>
    <t xml:space="preserve">SAMLIE     </t>
  </si>
  <si>
    <t xml:space="preserve">IRWIN            </t>
  </si>
  <si>
    <t xml:space="preserve">ISABELL          </t>
  </si>
  <si>
    <t xml:space="preserve">JARVIS     </t>
  </si>
  <si>
    <t xml:space="preserve">ISLAM            </t>
  </si>
  <si>
    <t xml:space="preserve">INDI       </t>
  </si>
  <si>
    <t xml:space="preserve">SALAAT     </t>
  </si>
  <si>
    <t xml:space="preserve">IVERSON          </t>
  </si>
  <si>
    <t xml:space="preserve">IZZO             </t>
  </si>
  <si>
    <t xml:space="preserve">SERGIO     </t>
  </si>
  <si>
    <t xml:space="preserve">JACKSON          </t>
  </si>
  <si>
    <t xml:space="preserve">DERICK     </t>
  </si>
  <si>
    <t xml:space="preserve">DORRIEN    </t>
  </si>
  <si>
    <t xml:space="preserve">GIGERE     </t>
  </si>
  <si>
    <t xml:space="preserve">ISIAH      </t>
  </si>
  <si>
    <t xml:space="preserve">JAYVON     </t>
  </si>
  <si>
    <t xml:space="preserve">LILY       </t>
  </si>
  <si>
    <t xml:space="preserve">NEHEMIAH   </t>
  </si>
  <si>
    <t xml:space="preserve">QUISHYNE   </t>
  </si>
  <si>
    <t xml:space="preserve">SHERRY     </t>
  </si>
  <si>
    <t xml:space="preserve">JACOBS           </t>
  </si>
  <si>
    <t xml:space="preserve">JACOLUCCI        </t>
  </si>
  <si>
    <t xml:space="preserve">JAMES            </t>
  </si>
  <si>
    <t xml:space="preserve">ANGELO     </t>
  </si>
  <si>
    <t xml:space="preserve">JAMISON          </t>
  </si>
  <si>
    <t xml:space="preserve">JANNEY           </t>
  </si>
  <si>
    <t xml:space="preserve">JAQUEZ           </t>
  </si>
  <si>
    <t xml:space="preserve">JARMAN           </t>
  </si>
  <si>
    <t xml:space="preserve">JARVIS           </t>
  </si>
  <si>
    <t xml:space="preserve">DWAN       </t>
  </si>
  <si>
    <t xml:space="preserve">JEFFERIS         </t>
  </si>
  <si>
    <t xml:space="preserve">JEFFERSON        </t>
  </si>
  <si>
    <t xml:space="preserve">JON        </t>
  </si>
  <si>
    <t xml:space="preserve">JENIFER          </t>
  </si>
  <si>
    <t xml:space="preserve">JENKINS          </t>
  </si>
  <si>
    <t xml:space="preserve">AARRON     </t>
  </si>
  <si>
    <t xml:space="preserve">DAWUN      </t>
  </si>
  <si>
    <t xml:space="preserve">IVORY      </t>
  </si>
  <si>
    <t xml:space="preserve">WILMER     </t>
  </si>
  <si>
    <t xml:space="preserve">JENKINS-HEATH    </t>
  </si>
  <si>
    <t xml:space="preserve">JENNETTE         </t>
  </si>
  <si>
    <t xml:space="preserve">JENNINGS         </t>
  </si>
  <si>
    <t xml:space="preserve">CHERYL     </t>
  </si>
  <si>
    <t xml:space="preserve">JERVEY           </t>
  </si>
  <si>
    <t xml:space="preserve">LYLE       </t>
  </si>
  <si>
    <t xml:space="preserve">JESSUP           </t>
  </si>
  <si>
    <t xml:space="preserve">JESTER           </t>
  </si>
  <si>
    <t xml:space="preserve">JETER            </t>
  </si>
  <si>
    <t xml:space="preserve">JEWELL           </t>
  </si>
  <si>
    <t xml:space="preserve">JIMENEZ          </t>
  </si>
  <si>
    <t xml:space="preserve">JOHN             </t>
  </si>
  <si>
    <t xml:space="preserve">JOHNS            </t>
  </si>
  <si>
    <t xml:space="preserve">JOHNSON          </t>
  </si>
  <si>
    <t xml:space="preserve">CAPICE     </t>
  </si>
  <si>
    <t xml:space="preserve">CHIANTI    </t>
  </si>
  <si>
    <t xml:space="preserve">DAMMEYIN   </t>
  </si>
  <si>
    <t xml:space="preserve">DAVEION    </t>
  </si>
  <si>
    <t xml:space="preserve">DEMONTE    </t>
  </si>
  <si>
    <t xml:space="preserve">DVONTE     </t>
  </si>
  <si>
    <t xml:space="preserve">HAYWOOD    </t>
  </si>
  <si>
    <t xml:space="preserve">JALIRE     </t>
  </si>
  <si>
    <t xml:space="preserve">JIAR       </t>
  </si>
  <si>
    <t xml:space="preserve">JOVONE     </t>
  </si>
  <si>
    <t xml:space="preserve">JULIUS     </t>
  </si>
  <si>
    <t xml:space="preserve">KEARY      </t>
  </si>
  <si>
    <t xml:space="preserve">NAHEIM     </t>
  </si>
  <si>
    <t xml:space="preserve">QUINCY     </t>
  </si>
  <si>
    <t xml:space="preserve">RAJHEEM    </t>
  </si>
  <si>
    <t xml:space="preserve">RAY        </t>
  </si>
  <si>
    <t xml:space="preserve">RAYSHAUN   </t>
  </si>
  <si>
    <t xml:space="preserve">JOHNSTON         </t>
  </si>
  <si>
    <t xml:space="preserve">JONES            </t>
  </si>
  <si>
    <t xml:space="preserve">ALTON      </t>
  </si>
  <si>
    <t xml:space="preserve">CLAUZELL   </t>
  </si>
  <si>
    <t xml:space="preserve">CLYDE      </t>
  </si>
  <si>
    <t xml:space="preserve">DA-VION    </t>
  </si>
  <si>
    <t xml:space="preserve">DAMIAN     </t>
  </si>
  <si>
    <t xml:space="preserve">DANE       </t>
  </si>
  <si>
    <t xml:space="preserve">DARION     </t>
  </si>
  <si>
    <t xml:space="preserve">DASEONNE   </t>
  </si>
  <si>
    <t xml:space="preserve">DEVONAIRE  </t>
  </si>
  <si>
    <t xml:space="preserve">EMEDIO     </t>
  </si>
  <si>
    <t xml:space="preserve">GEORGINA   </t>
  </si>
  <si>
    <t xml:space="preserve">JAMAL      </t>
  </si>
  <si>
    <t xml:space="preserve">JUANTA     </t>
  </si>
  <si>
    <t xml:space="preserve">KYRON      </t>
  </si>
  <si>
    <t xml:space="preserve">LASHAWNDA  </t>
  </si>
  <si>
    <t xml:space="preserve">NEVELL     </t>
  </si>
  <si>
    <t xml:space="preserve">SHAKIR     </t>
  </si>
  <si>
    <t xml:space="preserve">SHAWMBA    </t>
  </si>
  <si>
    <t xml:space="preserve">STEVIE     </t>
  </si>
  <si>
    <t xml:space="preserve">TOUSSAINT  </t>
  </si>
  <si>
    <t xml:space="preserve">TRAVIS     </t>
  </si>
  <si>
    <t xml:space="preserve">JORDAN           </t>
  </si>
  <si>
    <t xml:space="preserve">BOYCE      </t>
  </si>
  <si>
    <t xml:space="preserve">JOSEPH           </t>
  </si>
  <si>
    <t xml:space="preserve">JOSUE-AMAYA      </t>
  </si>
  <si>
    <t xml:space="preserve">DILMER     </t>
  </si>
  <si>
    <t xml:space="preserve">JOUDREY          </t>
  </si>
  <si>
    <t xml:space="preserve">JOYNER           </t>
  </si>
  <si>
    <t xml:space="preserve">CORRIE     </t>
  </si>
  <si>
    <t xml:space="preserve">JUAREZ           </t>
  </si>
  <si>
    <t xml:space="preserve">ARTURO     </t>
  </si>
  <si>
    <t xml:space="preserve">JUAREZ DIAZ      </t>
  </si>
  <si>
    <t xml:space="preserve">DESIDEL    </t>
  </si>
  <si>
    <t xml:space="preserve">JUAREZ-SEGURA    </t>
  </si>
  <si>
    <t xml:space="preserve">ADAN       </t>
  </si>
  <si>
    <t>JUNAID MUTAWAKKIL</t>
  </si>
  <si>
    <t xml:space="preserve">FA'RID     </t>
  </si>
  <si>
    <t xml:space="preserve">JURADO           </t>
  </si>
  <si>
    <t xml:space="preserve">JUSTICE          </t>
  </si>
  <si>
    <t xml:space="preserve">DESMONE    </t>
  </si>
  <si>
    <t xml:space="preserve">JUSTINIANO       </t>
  </si>
  <si>
    <t xml:space="preserve">KALIL            </t>
  </si>
  <si>
    <t xml:space="preserve">KANDA            </t>
  </si>
  <si>
    <t xml:space="preserve">KESSELLE   </t>
  </si>
  <si>
    <t xml:space="preserve">KANE             </t>
  </si>
  <si>
    <t xml:space="preserve">BRENT      </t>
  </si>
  <si>
    <t xml:space="preserve">KAPP             </t>
  </si>
  <si>
    <t xml:space="preserve">KARASEVICH       </t>
  </si>
  <si>
    <t xml:space="preserve">KASHNER          </t>
  </si>
  <si>
    <t xml:space="preserve">KASSING          </t>
  </si>
  <si>
    <t xml:space="preserve">KAYMORE          </t>
  </si>
  <si>
    <t xml:space="preserve">FREDRICK   </t>
  </si>
  <si>
    <t xml:space="preserve">KEE              </t>
  </si>
  <si>
    <t xml:space="preserve">KEIS             </t>
  </si>
  <si>
    <t xml:space="preserve">KELLAM           </t>
  </si>
  <si>
    <t xml:space="preserve">LENEAR     </t>
  </si>
  <si>
    <t xml:space="preserve">MERMANN    </t>
  </si>
  <si>
    <t xml:space="preserve">KELLEHER         </t>
  </si>
  <si>
    <t xml:space="preserve">KELLEY           </t>
  </si>
  <si>
    <t xml:space="preserve">IVORIE     </t>
  </si>
  <si>
    <t xml:space="preserve">KELLNER          </t>
  </si>
  <si>
    <t xml:space="preserve">MATTHIAS   </t>
  </si>
  <si>
    <t xml:space="preserve">KELLUM           </t>
  </si>
  <si>
    <t xml:space="preserve">KELLY            </t>
  </si>
  <si>
    <t xml:space="preserve">BYRON      </t>
  </si>
  <si>
    <t xml:space="preserve">KELSON           </t>
  </si>
  <si>
    <t xml:space="preserve">LEONTRAHN  </t>
  </si>
  <si>
    <t xml:space="preserve">KEMP             </t>
  </si>
  <si>
    <t xml:space="preserve">KENT             </t>
  </si>
  <si>
    <t xml:space="preserve">KEOGH            </t>
  </si>
  <si>
    <t xml:space="preserve">KEPERLING        </t>
  </si>
  <si>
    <t xml:space="preserve">KESSLER          </t>
  </si>
  <si>
    <t xml:space="preserve">KEYS             </t>
  </si>
  <si>
    <t xml:space="preserve">SPENCER    </t>
  </si>
  <si>
    <t xml:space="preserve">KEYSER           </t>
  </si>
  <si>
    <t xml:space="preserve">KHAN             </t>
  </si>
  <si>
    <t xml:space="preserve">NAUSHAD    </t>
  </si>
  <si>
    <t xml:space="preserve">KIBLER           </t>
  </si>
  <si>
    <t xml:space="preserve">KIMBROUGH        </t>
  </si>
  <si>
    <t xml:space="preserve">KINDERMAN        </t>
  </si>
  <si>
    <t xml:space="preserve">SETH       </t>
  </si>
  <si>
    <t xml:space="preserve">KINDLE           </t>
  </si>
  <si>
    <t xml:space="preserve">KING             </t>
  </si>
  <si>
    <t xml:space="preserve">DAZZEL     </t>
  </si>
  <si>
    <t xml:space="preserve">LYNDON     </t>
  </si>
  <si>
    <t xml:space="preserve">MARZETTE   </t>
  </si>
  <si>
    <t xml:space="preserve">NAKEISHA   </t>
  </si>
  <si>
    <t xml:space="preserve">SHAMUS     </t>
  </si>
  <si>
    <t xml:space="preserve">KINSLER          </t>
  </si>
  <si>
    <t xml:space="preserve">KINTZER          </t>
  </si>
  <si>
    <t xml:space="preserve">KINZER           </t>
  </si>
  <si>
    <t xml:space="preserve">KIRK             </t>
  </si>
  <si>
    <t xml:space="preserve">KIRKLEY          </t>
  </si>
  <si>
    <t xml:space="preserve">KIRLIN           </t>
  </si>
  <si>
    <t xml:space="preserve">KIRN             </t>
  </si>
  <si>
    <t xml:space="preserve">KISELA           </t>
  </si>
  <si>
    <t xml:space="preserve">KISER            </t>
  </si>
  <si>
    <t xml:space="preserve">KLAFT            </t>
  </si>
  <si>
    <t xml:space="preserve">KLAIR            </t>
  </si>
  <si>
    <t xml:space="preserve">KLEMMER          </t>
  </si>
  <si>
    <t xml:space="preserve">KLINE            </t>
  </si>
  <si>
    <t xml:space="preserve">KNAUB            </t>
  </si>
  <si>
    <t xml:space="preserve">JAMON      </t>
  </si>
  <si>
    <t xml:space="preserve">KNEE             </t>
  </si>
  <si>
    <t xml:space="preserve">KNIGHT           </t>
  </si>
  <si>
    <t xml:space="preserve">TIVON      </t>
  </si>
  <si>
    <t xml:space="preserve">KNOTTS           </t>
  </si>
  <si>
    <t xml:space="preserve">KNOWLES          </t>
  </si>
  <si>
    <t xml:space="preserve">KNOX             </t>
  </si>
  <si>
    <t xml:space="preserve">KOELLER          </t>
  </si>
  <si>
    <t xml:space="preserve">AUSTEN     </t>
  </si>
  <si>
    <t xml:space="preserve">KOENIG           </t>
  </si>
  <si>
    <t xml:space="preserve">KOLACO           </t>
  </si>
  <si>
    <t xml:space="preserve">KOONCE           </t>
  </si>
  <si>
    <t xml:space="preserve">KOPEC            </t>
  </si>
  <si>
    <t xml:space="preserve">KOPP             </t>
  </si>
  <si>
    <t xml:space="preserve">KOSKY            </t>
  </si>
  <si>
    <t xml:space="preserve">KRAFCHICK        </t>
  </si>
  <si>
    <t xml:space="preserve">KRIMM            </t>
  </si>
  <si>
    <t xml:space="preserve">KRISS            </t>
  </si>
  <si>
    <t xml:space="preserve">BRION      </t>
  </si>
  <si>
    <t xml:space="preserve">KUDLICK          </t>
  </si>
  <si>
    <t xml:space="preserve">KUNITZ           </t>
  </si>
  <si>
    <t xml:space="preserve">KUTINA           </t>
  </si>
  <si>
    <t xml:space="preserve">OKSANA     </t>
  </si>
  <si>
    <t xml:space="preserve">KYLE             </t>
  </si>
  <si>
    <t xml:space="preserve">COLE       </t>
  </si>
  <si>
    <t xml:space="preserve">LACEY            </t>
  </si>
  <si>
    <t xml:space="preserve">LACKFORD         </t>
  </si>
  <si>
    <t xml:space="preserve">KOREY      </t>
  </si>
  <si>
    <t xml:space="preserve">LACOMB           </t>
  </si>
  <si>
    <t xml:space="preserve">CLAUDE     </t>
  </si>
  <si>
    <t xml:space="preserve">LACOMBE          </t>
  </si>
  <si>
    <t xml:space="preserve">LACY             </t>
  </si>
  <si>
    <t xml:space="preserve">LAGUNES-DIAZ     </t>
  </si>
  <si>
    <t xml:space="preserve">ROGELIO    </t>
  </si>
  <si>
    <t xml:space="preserve">LAKE             </t>
  </si>
  <si>
    <t xml:space="preserve">LAM              </t>
  </si>
  <si>
    <t xml:space="preserve">LAMARR           </t>
  </si>
  <si>
    <t xml:space="preserve">LAMBERT          </t>
  </si>
  <si>
    <t xml:space="preserve">LAMBEY           </t>
  </si>
  <si>
    <t xml:space="preserve">LAMPKINS         </t>
  </si>
  <si>
    <t xml:space="preserve">JAPHIS     </t>
  </si>
  <si>
    <t xml:space="preserve">LANCE            </t>
  </si>
  <si>
    <t xml:space="preserve">LAND             </t>
  </si>
  <si>
    <t xml:space="preserve">LANDRY           </t>
  </si>
  <si>
    <t xml:space="preserve">LANE             </t>
  </si>
  <si>
    <t xml:space="preserve">AMANDA     </t>
  </si>
  <si>
    <t xml:space="preserve">LANGELL          </t>
  </si>
  <si>
    <t xml:space="preserve">LANZO            </t>
  </si>
  <si>
    <t xml:space="preserve">LAPPA            </t>
  </si>
  <si>
    <t xml:space="preserve">LARA             </t>
  </si>
  <si>
    <t xml:space="preserve">LARE             </t>
  </si>
  <si>
    <t xml:space="preserve">LASANTA          </t>
  </si>
  <si>
    <t xml:space="preserve">LASHLEY          </t>
  </si>
  <si>
    <t xml:space="preserve">SANDY      </t>
  </si>
  <si>
    <t xml:space="preserve">LASKOWSKI        </t>
  </si>
  <si>
    <t xml:space="preserve">LASSITER         </t>
  </si>
  <si>
    <t xml:space="preserve">LASTER           </t>
  </si>
  <si>
    <t xml:space="preserve">LAW              </t>
  </si>
  <si>
    <t xml:space="preserve">ALBERTO    </t>
  </si>
  <si>
    <t xml:space="preserve">LAWHORN          </t>
  </si>
  <si>
    <t xml:space="preserve">LAWLEY           </t>
  </si>
  <si>
    <t xml:space="preserve">LAWLOR           </t>
  </si>
  <si>
    <t xml:space="preserve">LAWRENCE         </t>
  </si>
  <si>
    <t xml:space="preserve">LAWS             </t>
  </si>
  <si>
    <t xml:space="preserve">MONROE     </t>
  </si>
  <si>
    <t xml:space="preserve">LAWSON           </t>
  </si>
  <si>
    <t xml:space="preserve">LAWSON-HIXON     </t>
  </si>
  <si>
    <t xml:space="preserve">LAWTON           </t>
  </si>
  <si>
    <t xml:space="preserve">LAYTON           </t>
  </si>
  <si>
    <t xml:space="preserve">LEAGER           </t>
  </si>
  <si>
    <t xml:space="preserve">CARRIE     </t>
  </si>
  <si>
    <t xml:space="preserve">SOLOMON    </t>
  </si>
  <si>
    <t xml:space="preserve">LEATHERBERRY     </t>
  </si>
  <si>
    <t xml:space="preserve">LANCE      </t>
  </si>
  <si>
    <t xml:space="preserve">LECOMPTE         </t>
  </si>
  <si>
    <t xml:space="preserve">SHAHEEM    </t>
  </si>
  <si>
    <t xml:space="preserve">LEDBETTER        </t>
  </si>
  <si>
    <t xml:space="preserve">OTIS       </t>
  </si>
  <si>
    <t xml:space="preserve">LEE              </t>
  </si>
  <si>
    <t xml:space="preserve">NIJIR      </t>
  </si>
  <si>
    <t xml:space="preserve">TYARE      </t>
  </si>
  <si>
    <t xml:space="preserve">LEGRAND          </t>
  </si>
  <si>
    <t xml:space="preserve">LEGREE           </t>
  </si>
  <si>
    <t xml:space="preserve">LEHMAN           </t>
  </si>
  <si>
    <t xml:space="preserve">LEIFHEIT         </t>
  </si>
  <si>
    <t xml:space="preserve">LEMONICK         </t>
  </si>
  <si>
    <t xml:space="preserve">LEMONS           </t>
  </si>
  <si>
    <t xml:space="preserve">LEPORE           </t>
  </si>
  <si>
    <t xml:space="preserve">LESTER           </t>
  </si>
  <si>
    <t xml:space="preserve">LEVAN            </t>
  </si>
  <si>
    <t xml:space="preserve">LEWIS            </t>
  </si>
  <si>
    <t xml:space="preserve">ALHAJJ     </t>
  </si>
  <si>
    <t xml:space="preserve">DAVION     </t>
  </si>
  <si>
    <t xml:space="preserve">DAVONTE    </t>
  </si>
  <si>
    <t xml:space="preserve">DESHERE    </t>
  </si>
  <si>
    <t xml:space="preserve">JAHLIL     </t>
  </si>
  <si>
    <t xml:space="preserve">JAYMERE    </t>
  </si>
  <si>
    <t xml:space="preserve">KAHLIL     </t>
  </si>
  <si>
    <t xml:space="preserve">KHAHIEM    </t>
  </si>
  <si>
    <t xml:space="preserve">LEE        </t>
  </si>
  <si>
    <t xml:space="preserve">RUFUS      </t>
  </si>
  <si>
    <t xml:space="preserve">TITUS      </t>
  </si>
  <si>
    <t xml:space="preserve">LILLARD          </t>
  </si>
  <si>
    <t xml:space="preserve">DESIRAE    </t>
  </si>
  <si>
    <t xml:space="preserve">LILLY            </t>
  </si>
  <si>
    <t xml:space="preserve">LIMA             </t>
  </si>
  <si>
    <t xml:space="preserve">DUCKENS    </t>
  </si>
  <si>
    <t xml:space="preserve">LINDSEY          </t>
  </si>
  <si>
    <t xml:space="preserve">LINEWEAVER       </t>
  </si>
  <si>
    <t xml:space="preserve">LITTEN           </t>
  </si>
  <si>
    <t xml:space="preserve">LOWELL     </t>
  </si>
  <si>
    <t xml:space="preserve">LITTLE           </t>
  </si>
  <si>
    <t xml:space="preserve">LITTLEJOHN       </t>
  </si>
  <si>
    <t xml:space="preserve">LITTLETON        </t>
  </si>
  <si>
    <t xml:space="preserve">LIVESAY          </t>
  </si>
  <si>
    <t xml:space="preserve">LIVINGSTON       </t>
  </si>
  <si>
    <t xml:space="preserve">OSCAR      </t>
  </si>
  <si>
    <t xml:space="preserve">LLEWELLYN        </t>
  </si>
  <si>
    <t xml:space="preserve">LLOYD            </t>
  </si>
  <si>
    <t xml:space="preserve">NAZJHEIR   </t>
  </si>
  <si>
    <t xml:space="preserve">PARISH     </t>
  </si>
  <si>
    <t xml:space="preserve">SCOT       </t>
  </si>
  <si>
    <t xml:space="preserve">ZAKEE      </t>
  </si>
  <si>
    <t xml:space="preserve">LLOYD-WOOD       </t>
  </si>
  <si>
    <t xml:space="preserve">LOBACCARO        </t>
  </si>
  <si>
    <t xml:space="preserve">LOCKETT          </t>
  </si>
  <si>
    <t xml:space="preserve">LOFLAND          </t>
  </si>
  <si>
    <t xml:space="preserve">LOGAN            </t>
  </si>
  <si>
    <t xml:space="preserve">LOLLEY           </t>
  </si>
  <si>
    <t xml:space="preserve">LOLLY            </t>
  </si>
  <si>
    <t xml:space="preserve">LAWREN     </t>
  </si>
  <si>
    <t xml:space="preserve">LONDON           </t>
  </si>
  <si>
    <t xml:space="preserve">KAMILLA    </t>
  </si>
  <si>
    <t xml:space="preserve">LONES            </t>
  </si>
  <si>
    <t xml:space="preserve">KEISHA     </t>
  </si>
  <si>
    <t xml:space="preserve">LONG             </t>
  </si>
  <si>
    <t xml:space="preserve">LONGACRE         </t>
  </si>
  <si>
    <t xml:space="preserve">LONGFELLOW       </t>
  </si>
  <si>
    <t xml:space="preserve">LOPER            </t>
  </si>
  <si>
    <t xml:space="preserve">UNIQUE     </t>
  </si>
  <si>
    <t xml:space="preserve">LOPEZ            </t>
  </si>
  <si>
    <t xml:space="preserve">ALEM       </t>
  </si>
  <si>
    <t xml:space="preserve">ANGELINA   </t>
  </si>
  <si>
    <t xml:space="preserve">NAHCEER    </t>
  </si>
  <si>
    <t xml:space="preserve">RIGOBERTO  </t>
  </si>
  <si>
    <t xml:space="preserve">LOPEZ-CHAVEZ     </t>
  </si>
  <si>
    <t xml:space="preserve">RONY       </t>
  </si>
  <si>
    <t xml:space="preserve">LOPEZ-MARTIN     </t>
  </si>
  <si>
    <t xml:space="preserve">LOPEZVELASQUEZ   </t>
  </si>
  <si>
    <t xml:space="preserve">RODRIGO    </t>
  </si>
  <si>
    <t xml:space="preserve">LOVE             </t>
  </si>
  <si>
    <t xml:space="preserve">IKEEN      </t>
  </si>
  <si>
    <t xml:space="preserve">THELINOUS  </t>
  </si>
  <si>
    <t xml:space="preserve">LOVELL           </t>
  </si>
  <si>
    <t xml:space="preserve">LOVETT           </t>
  </si>
  <si>
    <t xml:space="preserve">IRVIN      </t>
  </si>
  <si>
    <t xml:space="preserve">LOWE             </t>
  </si>
  <si>
    <t xml:space="preserve">LOWMAN           </t>
  </si>
  <si>
    <t xml:space="preserve">LOWTHER          </t>
  </si>
  <si>
    <t xml:space="preserve">JENNIFER   </t>
  </si>
  <si>
    <t xml:space="preserve">LUCAS            </t>
  </si>
  <si>
    <t xml:space="preserve">LUKE             </t>
  </si>
  <si>
    <t xml:space="preserve">MARLON     </t>
  </si>
  <si>
    <t xml:space="preserve">LUM              </t>
  </si>
  <si>
    <t xml:space="preserve">DATWAN     </t>
  </si>
  <si>
    <t xml:space="preserve">LUNDY            </t>
  </si>
  <si>
    <t xml:space="preserve">LUSBY            </t>
  </si>
  <si>
    <t xml:space="preserve">LYNARD           </t>
  </si>
  <si>
    <t xml:space="preserve">SABIR      </t>
  </si>
  <si>
    <t xml:space="preserve">LYNCH            </t>
  </si>
  <si>
    <t xml:space="preserve">JOYCE      </t>
  </si>
  <si>
    <t xml:space="preserve">LYNN             </t>
  </si>
  <si>
    <t xml:space="preserve">LYSINGER         </t>
  </si>
  <si>
    <t xml:space="preserve">CRYSTAL    </t>
  </si>
  <si>
    <t xml:space="preserve">MACARENO         </t>
  </si>
  <si>
    <t xml:space="preserve">BARTOLO    </t>
  </si>
  <si>
    <t xml:space="preserve">MACCONNELL       </t>
  </si>
  <si>
    <t xml:space="preserve">MACDONALD        </t>
  </si>
  <si>
    <t xml:space="preserve">GLENN      </t>
  </si>
  <si>
    <t xml:space="preserve">MACHETTE         </t>
  </si>
  <si>
    <t xml:space="preserve">MACK             </t>
  </si>
  <si>
    <t xml:space="preserve">KHALID     </t>
  </si>
  <si>
    <t xml:space="preserve">KOSHAUN    </t>
  </si>
  <si>
    <t xml:space="preserve">TYWON      </t>
  </si>
  <si>
    <t xml:space="preserve">MACKEY           </t>
  </si>
  <si>
    <t xml:space="preserve">AUSTRALIA  </t>
  </si>
  <si>
    <t xml:space="preserve">MADDEN           </t>
  </si>
  <si>
    <t xml:space="preserve">MADDOX           </t>
  </si>
  <si>
    <t xml:space="preserve">MADDREY          </t>
  </si>
  <si>
    <t xml:space="preserve">QY-MERE    </t>
  </si>
  <si>
    <t xml:space="preserve">MADDUX           </t>
  </si>
  <si>
    <t xml:space="preserve">MADISON          </t>
  </si>
  <si>
    <t xml:space="preserve">MADRIC           </t>
  </si>
  <si>
    <t xml:space="preserve">MAGNER           </t>
  </si>
  <si>
    <t xml:space="preserve">MAGRUDER         </t>
  </si>
  <si>
    <t xml:space="preserve">MAICHLE          </t>
  </si>
  <si>
    <t xml:space="preserve">MAIER            </t>
  </si>
  <si>
    <t xml:space="preserve">MAJETTE          </t>
  </si>
  <si>
    <t xml:space="preserve">MAJID            </t>
  </si>
  <si>
    <t xml:space="preserve">MALANDRUCCOLO    </t>
  </si>
  <si>
    <t xml:space="preserve">MALANTRUCOLO     </t>
  </si>
  <si>
    <t xml:space="preserve">MALIK            </t>
  </si>
  <si>
    <t xml:space="preserve">MIKAL      </t>
  </si>
  <si>
    <t xml:space="preserve">MALIN            </t>
  </si>
  <si>
    <t xml:space="preserve">MALLOY           </t>
  </si>
  <si>
    <t xml:space="preserve">LESLIE     </t>
  </si>
  <si>
    <t xml:space="preserve">RYHIME     </t>
  </si>
  <si>
    <t xml:space="preserve">MANCINELLI       </t>
  </si>
  <si>
    <t xml:space="preserve">MANISCALCO       </t>
  </si>
  <si>
    <t xml:space="preserve">VITO       </t>
  </si>
  <si>
    <t xml:space="preserve">MANLEY           </t>
  </si>
  <si>
    <t xml:space="preserve">MANLOVE          </t>
  </si>
  <si>
    <t xml:space="preserve">MANN             </t>
  </si>
  <si>
    <t xml:space="preserve">LRON       </t>
  </si>
  <si>
    <t xml:space="preserve">MANNING          </t>
  </si>
  <si>
    <t xml:space="preserve">MANNS            </t>
  </si>
  <si>
    <t xml:space="preserve">MANSFIELD        </t>
  </si>
  <si>
    <t xml:space="preserve">SENCIER    </t>
  </si>
  <si>
    <t xml:space="preserve">MANUEL           </t>
  </si>
  <si>
    <t xml:space="preserve">ANDRA      </t>
  </si>
  <si>
    <t xml:space="preserve">MAPP             </t>
  </si>
  <si>
    <t xml:space="preserve">MARCINKOWSKI     </t>
  </si>
  <si>
    <t xml:space="preserve">ARKADIUSZ  </t>
  </si>
  <si>
    <t xml:space="preserve">MAREK            </t>
  </si>
  <si>
    <t xml:space="preserve">MARENO           </t>
  </si>
  <si>
    <t xml:space="preserve">MARIN            </t>
  </si>
  <si>
    <t xml:space="preserve">MARCO      </t>
  </si>
  <si>
    <t xml:space="preserve">MARINE           </t>
  </si>
  <si>
    <t xml:space="preserve">MARINEY          </t>
  </si>
  <si>
    <t xml:space="preserve">MARION           </t>
  </si>
  <si>
    <t xml:space="preserve">MARKMAN          </t>
  </si>
  <si>
    <t xml:space="preserve">MARKUM           </t>
  </si>
  <si>
    <t xml:space="preserve">RUSTY      </t>
  </si>
  <si>
    <t xml:space="preserve">MARQUINMENDOZA   </t>
  </si>
  <si>
    <t>MARROQUIN-ESCOBAR</t>
  </si>
  <si>
    <t xml:space="preserve">MARSH            </t>
  </si>
  <si>
    <t xml:space="preserve">MARSHALL         </t>
  </si>
  <si>
    <t xml:space="preserve">BOBBY      </t>
  </si>
  <si>
    <t xml:space="preserve">LISA       </t>
  </si>
  <si>
    <t xml:space="preserve">ROSKOE     </t>
  </si>
  <si>
    <t xml:space="preserve">MARTIN           </t>
  </si>
  <si>
    <t xml:space="preserve">DAEQUAN    </t>
  </si>
  <si>
    <t xml:space="preserve">DONEISHA   </t>
  </si>
  <si>
    <t xml:space="preserve">JOVAN      </t>
  </si>
  <si>
    <t xml:space="preserve">ROSCOE     </t>
  </si>
  <si>
    <t xml:space="preserve">MARTINEZ         </t>
  </si>
  <si>
    <t xml:space="preserve">EVARISTO   </t>
  </si>
  <si>
    <t xml:space="preserve">RODOLFO    </t>
  </si>
  <si>
    <t xml:space="preserve">MARTINEZ-GALVAN  </t>
  </si>
  <si>
    <t xml:space="preserve">MARTINEZCARRASCO </t>
  </si>
  <si>
    <t xml:space="preserve">MARVEL           </t>
  </si>
  <si>
    <t xml:space="preserve">MASON            </t>
  </si>
  <si>
    <t xml:space="preserve">MASSAS           </t>
  </si>
  <si>
    <t xml:space="preserve">SEMAJE     </t>
  </si>
  <si>
    <t xml:space="preserve">MASSEY           </t>
  </si>
  <si>
    <t xml:space="preserve">DEVONTAE   </t>
  </si>
  <si>
    <t xml:space="preserve">MASTRONARDI      </t>
  </si>
  <si>
    <t xml:space="preserve">MATESIC          </t>
  </si>
  <si>
    <t xml:space="preserve">LAUREN     </t>
  </si>
  <si>
    <t xml:space="preserve">MATHEW           </t>
  </si>
  <si>
    <t xml:space="preserve">MATHIS           </t>
  </si>
  <si>
    <t xml:space="preserve">JANIIS     </t>
  </si>
  <si>
    <t xml:space="preserve">MATOO            </t>
  </si>
  <si>
    <t xml:space="preserve">RANDAL     </t>
  </si>
  <si>
    <t xml:space="preserve">MATOS            </t>
  </si>
  <si>
    <t xml:space="preserve">MATTHEW          </t>
  </si>
  <si>
    <t xml:space="preserve">MARCEL     </t>
  </si>
  <si>
    <t xml:space="preserve">MATTHEWES        </t>
  </si>
  <si>
    <t xml:space="preserve">LAMOTT     </t>
  </si>
  <si>
    <t xml:space="preserve">MATTHEWS         </t>
  </si>
  <si>
    <t xml:space="preserve">DWYON      </t>
  </si>
  <si>
    <t xml:space="preserve">TYQHAUN    </t>
  </si>
  <si>
    <t xml:space="preserve">MATTINGLY        </t>
  </si>
  <si>
    <t xml:space="preserve">MATULPEREZ       </t>
  </si>
  <si>
    <t xml:space="preserve">MAYNOR     </t>
  </si>
  <si>
    <t xml:space="preserve">MAULL            </t>
  </si>
  <si>
    <t xml:space="preserve">MAXIME           </t>
  </si>
  <si>
    <t xml:space="preserve">MAXWELL          </t>
  </si>
  <si>
    <t xml:space="preserve">AVERY      </t>
  </si>
  <si>
    <t xml:space="preserve">RELANDO    </t>
  </si>
  <si>
    <t xml:space="preserve">TYSHEEN    </t>
  </si>
  <si>
    <t xml:space="preserve">MAY              </t>
  </si>
  <si>
    <t xml:space="preserve">MAYBANKS         </t>
  </si>
  <si>
    <t xml:space="preserve">DEMOND     </t>
  </si>
  <si>
    <t xml:space="preserve">MAYFIELD         </t>
  </si>
  <si>
    <t xml:space="preserve">ATIBA      </t>
  </si>
  <si>
    <t xml:space="preserve">KILI       </t>
  </si>
  <si>
    <t xml:space="preserve">TAHKAI     </t>
  </si>
  <si>
    <t xml:space="preserve">MAYHAN           </t>
  </si>
  <si>
    <t xml:space="preserve">MAYHEW           </t>
  </si>
  <si>
    <t xml:space="preserve">MAYMI            </t>
  </si>
  <si>
    <t xml:space="preserve">ABEL       </t>
  </si>
  <si>
    <t xml:space="preserve">ENRIQUE    </t>
  </si>
  <si>
    <t xml:space="preserve">MAYO             </t>
  </si>
  <si>
    <t xml:space="preserve">MAYS             </t>
  </si>
  <si>
    <t xml:space="preserve">MCALLISTER       </t>
  </si>
  <si>
    <t xml:space="preserve">MEL        </t>
  </si>
  <si>
    <t xml:space="preserve">MCBRIDE          </t>
  </si>
  <si>
    <t xml:space="preserve">MCCANE           </t>
  </si>
  <si>
    <t xml:space="preserve">MCCANTS          </t>
  </si>
  <si>
    <t xml:space="preserve">MCCARDELL        </t>
  </si>
  <si>
    <t xml:space="preserve">MCCARY           </t>
  </si>
  <si>
    <t xml:space="preserve">MCCASLINE        </t>
  </si>
  <si>
    <t xml:space="preserve">MCCLAIN          </t>
  </si>
  <si>
    <t xml:space="preserve">MCCLOSKEY        </t>
  </si>
  <si>
    <t xml:space="preserve">MCCOMMONS        </t>
  </si>
  <si>
    <t xml:space="preserve">JARUAN     </t>
  </si>
  <si>
    <t xml:space="preserve">MCCORMICK        </t>
  </si>
  <si>
    <t xml:space="preserve">MCCOVE           </t>
  </si>
  <si>
    <t xml:space="preserve">MCCOY            </t>
  </si>
  <si>
    <t xml:space="preserve">KADIR      </t>
  </si>
  <si>
    <t xml:space="preserve">MCCRARY          </t>
  </si>
  <si>
    <t xml:space="preserve">MCCRAY           </t>
  </si>
  <si>
    <t xml:space="preserve">CYRIL      </t>
  </si>
  <si>
    <t xml:space="preserve">MCCREARY         </t>
  </si>
  <si>
    <t xml:space="preserve">MCCREE           </t>
  </si>
  <si>
    <t xml:space="preserve">BARRON     </t>
  </si>
  <si>
    <t xml:space="preserve">MCCULLIN         </t>
  </si>
  <si>
    <t xml:space="preserve">MCDOLE           </t>
  </si>
  <si>
    <t xml:space="preserve">IKEEM      </t>
  </si>
  <si>
    <t xml:space="preserve">MCDONALD         </t>
  </si>
  <si>
    <t xml:space="preserve">JAQUELL    </t>
  </si>
  <si>
    <t xml:space="preserve">JUNIA      </t>
  </si>
  <si>
    <t xml:space="preserve">MCDONOUGH        </t>
  </si>
  <si>
    <t xml:space="preserve">MCDOUGAL         </t>
  </si>
  <si>
    <t xml:space="preserve">MARKEEVIS  </t>
  </si>
  <si>
    <t xml:space="preserve">MCDOUGALE        </t>
  </si>
  <si>
    <t xml:space="preserve">MCDOWELL         </t>
  </si>
  <si>
    <t xml:space="preserve">MCDUFFIE         </t>
  </si>
  <si>
    <t xml:space="preserve">TARAIL     </t>
  </si>
  <si>
    <t xml:space="preserve">MCEADDY          </t>
  </si>
  <si>
    <t xml:space="preserve">YUSUF      </t>
  </si>
  <si>
    <t xml:space="preserve">MCELWEE          </t>
  </si>
  <si>
    <t xml:space="preserve">TANNER     </t>
  </si>
  <si>
    <t xml:space="preserve">MCFADDEN         </t>
  </si>
  <si>
    <t xml:space="preserve">JAHMIL     </t>
  </si>
  <si>
    <t xml:space="preserve">MCFALL           </t>
  </si>
  <si>
    <t xml:space="preserve">MCFARLAND        </t>
  </si>
  <si>
    <t xml:space="preserve">MCGEE            </t>
  </si>
  <si>
    <t xml:space="preserve">MCGINNIS         </t>
  </si>
  <si>
    <t xml:space="preserve">MCGLOTTEN        </t>
  </si>
  <si>
    <t xml:space="preserve">DEANGELO   </t>
  </si>
  <si>
    <t xml:space="preserve">MCGONIGLE        </t>
  </si>
  <si>
    <t xml:space="preserve">MCGRATH          </t>
  </si>
  <si>
    <t xml:space="preserve">BRENDA     </t>
  </si>
  <si>
    <t xml:space="preserve">MCGRAW           </t>
  </si>
  <si>
    <t xml:space="preserve">MCGRIFF          </t>
  </si>
  <si>
    <t xml:space="preserve">DONAVAN    </t>
  </si>
  <si>
    <t xml:space="preserve">IVIS       </t>
  </si>
  <si>
    <t xml:space="preserve">MCHOLDER         </t>
  </si>
  <si>
    <t xml:space="preserve">MCILVAIN         </t>
  </si>
  <si>
    <t xml:space="preserve">MCINTIRE         </t>
  </si>
  <si>
    <t xml:space="preserve">MCINTYRE         </t>
  </si>
  <si>
    <t xml:space="preserve">DEMONT     </t>
  </si>
  <si>
    <t xml:space="preserve">MCIVOR           </t>
  </si>
  <si>
    <t xml:space="preserve">KASHAR     </t>
  </si>
  <si>
    <t xml:space="preserve">MCIVOR-BOSMAN    </t>
  </si>
  <si>
    <t xml:space="preserve">BASHAN     </t>
  </si>
  <si>
    <t xml:space="preserve">MCKAMEY          </t>
  </si>
  <si>
    <t xml:space="preserve">MCKAY            </t>
  </si>
  <si>
    <t xml:space="preserve">AUBREY     </t>
  </si>
  <si>
    <t xml:space="preserve">MCKEE            </t>
  </si>
  <si>
    <t xml:space="preserve">MCKELVEY         </t>
  </si>
  <si>
    <t xml:space="preserve">DREW       </t>
  </si>
  <si>
    <t xml:space="preserve">MCKENNA          </t>
  </si>
  <si>
    <t xml:space="preserve">MCKENZIE         </t>
  </si>
  <si>
    <t xml:space="preserve">LERAY      </t>
  </si>
  <si>
    <t xml:space="preserve">MCKINNEY         </t>
  </si>
  <si>
    <t xml:space="preserve">MCLAMB           </t>
  </si>
  <si>
    <t xml:space="preserve">MCLAUGHLAN       </t>
  </si>
  <si>
    <t xml:space="preserve">MCLEOD           </t>
  </si>
  <si>
    <t xml:space="preserve">GAVON      </t>
  </si>
  <si>
    <t xml:space="preserve">MCMANUS          </t>
  </si>
  <si>
    <t xml:space="preserve">MCMILLAN         </t>
  </si>
  <si>
    <t xml:space="preserve">MCMILLION        </t>
  </si>
  <si>
    <t xml:space="preserve">MCMULLEN         </t>
  </si>
  <si>
    <t xml:space="preserve">AJ         </t>
  </si>
  <si>
    <t xml:space="preserve">MCNAIR           </t>
  </si>
  <si>
    <t xml:space="preserve">MCNEAL           </t>
  </si>
  <si>
    <t xml:space="preserve">MCNEIL           </t>
  </si>
  <si>
    <t xml:space="preserve">RHISHAWN   </t>
  </si>
  <si>
    <t xml:space="preserve">MCNEILL          </t>
  </si>
  <si>
    <t xml:space="preserve">MCVAUGH          </t>
  </si>
  <si>
    <t xml:space="preserve">KYLIE      </t>
  </si>
  <si>
    <t xml:space="preserve">MEADES           </t>
  </si>
  <si>
    <t xml:space="preserve">MEADOWS          </t>
  </si>
  <si>
    <t xml:space="preserve">MEDINA           </t>
  </si>
  <si>
    <t xml:space="preserve">MEDINA ACOSTA    </t>
  </si>
  <si>
    <t xml:space="preserve">MEDINA-MORETA    </t>
  </si>
  <si>
    <t xml:space="preserve">MEDKEFF          </t>
  </si>
  <si>
    <t xml:space="preserve">MEDLEY           </t>
  </si>
  <si>
    <t xml:space="preserve">KYLEKE     </t>
  </si>
  <si>
    <t xml:space="preserve">SEKOU      </t>
  </si>
  <si>
    <t xml:space="preserve">WILBUR     </t>
  </si>
  <si>
    <t xml:space="preserve">MEEKS            </t>
  </si>
  <si>
    <t xml:space="preserve">MELENDEZ         </t>
  </si>
  <si>
    <t xml:space="preserve">ANIBAL     </t>
  </si>
  <si>
    <t xml:space="preserve">RAYMON     </t>
  </si>
  <si>
    <t xml:space="preserve">MELENDEZ-ORTIZ   </t>
  </si>
  <si>
    <t xml:space="preserve">MELERO-ALMODOVAR </t>
  </si>
  <si>
    <t xml:space="preserve">MELTON           </t>
  </si>
  <si>
    <t xml:space="preserve">DONMINIQUE </t>
  </si>
  <si>
    <t xml:space="preserve">MELVIN           </t>
  </si>
  <si>
    <t xml:space="preserve">MENCIA           </t>
  </si>
  <si>
    <t xml:space="preserve">MENDES           </t>
  </si>
  <si>
    <t xml:space="preserve">ELITO      </t>
  </si>
  <si>
    <t xml:space="preserve">MENDEZ           </t>
  </si>
  <si>
    <t xml:space="preserve">BONIFACIO  </t>
  </si>
  <si>
    <t>MENDEZ-BALLESTERO</t>
  </si>
  <si>
    <t xml:space="preserve">MENDOZA DE LEON  </t>
  </si>
  <si>
    <t xml:space="preserve">MENTZER          </t>
  </si>
  <si>
    <t xml:space="preserve">MERCER           </t>
  </si>
  <si>
    <t xml:space="preserve">MERILLO          </t>
  </si>
  <si>
    <t xml:space="preserve">CARLO      </t>
  </si>
  <si>
    <t xml:space="preserve">MERRITT          </t>
  </si>
  <si>
    <t xml:space="preserve">IDRESS     </t>
  </si>
  <si>
    <t xml:space="preserve">MERRIWETHER-TULL </t>
  </si>
  <si>
    <t xml:space="preserve">DEYON      </t>
  </si>
  <si>
    <t xml:space="preserve">MESSICK          </t>
  </si>
  <si>
    <t xml:space="preserve">METELUS          </t>
  </si>
  <si>
    <t xml:space="preserve">ANGELINE   </t>
  </si>
  <si>
    <t xml:space="preserve">MEZA-LARES       </t>
  </si>
  <si>
    <t xml:space="preserve">MICHAELS         </t>
  </si>
  <si>
    <t xml:space="preserve">MICHALKIEWICZ    </t>
  </si>
  <si>
    <t xml:space="preserve">MIFFLIN          </t>
  </si>
  <si>
    <t xml:space="preserve">MILES            </t>
  </si>
  <si>
    <t xml:space="preserve">MILLER           </t>
  </si>
  <si>
    <t xml:space="preserve">CHERI      </t>
  </si>
  <si>
    <t xml:space="preserve">KALIPH     </t>
  </si>
  <si>
    <t xml:space="preserve">NIKEEM     </t>
  </si>
  <si>
    <t xml:space="preserve">OBADIAH    </t>
  </si>
  <si>
    <t xml:space="preserve">RACHAEL    </t>
  </si>
  <si>
    <t xml:space="preserve">RAHMAN     </t>
  </si>
  <si>
    <t xml:space="preserve">MILLISOCK        </t>
  </si>
  <si>
    <t xml:space="preserve">MILLS            </t>
  </si>
  <si>
    <t xml:space="preserve">DEVAN      </t>
  </si>
  <si>
    <t xml:space="preserve">FLOYD      </t>
  </si>
  <si>
    <t xml:space="preserve">MARKEVIS   </t>
  </si>
  <si>
    <t xml:space="preserve">RAKEEM     </t>
  </si>
  <si>
    <t xml:space="preserve">RYDELL     </t>
  </si>
  <si>
    <t xml:space="preserve">TYRA       </t>
  </si>
  <si>
    <t xml:space="preserve">MILLS-DAVIS      </t>
  </si>
  <si>
    <t xml:space="preserve">MILTON           </t>
  </si>
  <si>
    <t xml:space="preserve">MINATEE          </t>
  </si>
  <si>
    <t xml:space="preserve">MINNER           </t>
  </si>
  <si>
    <t xml:space="preserve">MINTER           </t>
  </si>
  <si>
    <t xml:space="preserve">MINUS            </t>
  </si>
  <si>
    <t xml:space="preserve">MIRANDA PAZ      </t>
  </si>
  <si>
    <t xml:space="preserve">MIRO             </t>
  </si>
  <si>
    <t xml:space="preserve">MITCHELL         </t>
  </si>
  <si>
    <t xml:space="preserve">BRYHEEN    </t>
  </si>
  <si>
    <t xml:space="preserve">HAREEM     </t>
  </si>
  <si>
    <t xml:space="preserve">TAUSHIA    </t>
  </si>
  <si>
    <t xml:space="preserve">MIZE             </t>
  </si>
  <si>
    <t xml:space="preserve">MOBLEY           </t>
  </si>
  <si>
    <t xml:space="preserve">MOLINA           </t>
  </si>
  <si>
    <t xml:space="preserve">JAIR       </t>
  </si>
  <si>
    <t xml:space="preserve">MONAHAN          </t>
  </si>
  <si>
    <t xml:space="preserve">MOND             </t>
  </si>
  <si>
    <t xml:space="preserve">MONEY            </t>
  </si>
  <si>
    <t xml:space="preserve">MONROE           </t>
  </si>
  <si>
    <t xml:space="preserve">HEZEKIAH   </t>
  </si>
  <si>
    <t xml:space="preserve">MONTALVO         </t>
  </si>
  <si>
    <t xml:space="preserve">MONTECINO-CAAL   </t>
  </si>
  <si>
    <t xml:space="preserve">HUGO       </t>
  </si>
  <si>
    <t xml:space="preserve">MONTES GALINDEZ  </t>
  </si>
  <si>
    <t xml:space="preserve">YOSIAM     </t>
  </si>
  <si>
    <t xml:space="preserve">MONTGOMERY       </t>
  </si>
  <si>
    <t xml:space="preserve">MOODY            </t>
  </si>
  <si>
    <t xml:space="preserve">DAHMIERE   </t>
  </si>
  <si>
    <t xml:space="preserve">MOORE            </t>
  </si>
  <si>
    <t xml:space="preserve">ANTWON     </t>
  </si>
  <si>
    <t xml:space="preserve">BRANDEN    </t>
  </si>
  <si>
    <t xml:space="preserve">DERONTA    </t>
  </si>
  <si>
    <t xml:space="preserve">MORA             </t>
  </si>
  <si>
    <t xml:space="preserve">EMILIO     </t>
  </si>
  <si>
    <t xml:space="preserve">MORALES          </t>
  </si>
  <si>
    <t xml:space="preserve">BENITO     </t>
  </si>
  <si>
    <t xml:space="preserve">MANUEL     </t>
  </si>
  <si>
    <t xml:space="preserve">MORALES GABRIEL  </t>
  </si>
  <si>
    <t xml:space="preserve">OVIDIO     </t>
  </si>
  <si>
    <t xml:space="preserve">MORALES-SANTANA  </t>
  </si>
  <si>
    <t xml:space="preserve">MONLIO     </t>
  </si>
  <si>
    <t xml:space="preserve">MORAN            </t>
  </si>
  <si>
    <t xml:space="preserve">MORENO           </t>
  </si>
  <si>
    <t xml:space="preserve">MORETA           </t>
  </si>
  <si>
    <t xml:space="preserve">MORGAN           </t>
  </si>
  <si>
    <t xml:space="preserve">MORRIS           </t>
  </si>
  <si>
    <t xml:space="preserve">ALONZO     </t>
  </si>
  <si>
    <t xml:space="preserve">DIVEADRA   </t>
  </si>
  <si>
    <t xml:space="preserve">MORRIS-WHITT     </t>
  </si>
  <si>
    <t xml:space="preserve">JAHMIR     </t>
  </si>
  <si>
    <t xml:space="preserve">MORRISEY         </t>
  </si>
  <si>
    <t xml:space="preserve">MORRISON         </t>
  </si>
  <si>
    <t xml:space="preserve">DURRION    </t>
  </si>
  <si>
    <t xml:space="preserve">ERIK       </t>
  </si>
  <si>
    <t xml:space="preserve">MORTON           </t>
  </si>
  <si>
    <t xml:space="preserve">ELBERT     </t>
  </si>
  <si>
    <t xml:space="preserve">MOSELY           </t>
  </si>
  <si>
    <t xml:space="preserve">MOSETI           </t>
  </si>
  <si>
    <t xml:space="preserve">MOSLEY           </t>
  </si>
  <si>
    <t xml:space="preserve">CIERA      </t>
  </si>
  <si>
    <t xml:space="preserve">MOSLEY-THOMAS    </t>
  </si>
  <si>
    <t xml:space="preserve">QADIR      </t>
  </si>
  <si>
    <t xml:space="preserve">MOSSINGER        </t>
  </si>
  <si>
    <t xml:space="preserve">ANGELA     </t>
  </si>
  <si>
    <t xml:space="preserve">MOTA GARCIA      </t>
  </si>
  <si>
    <t xml:space="preserve">MOULTRE          </t>
  </si>
  <si>
    <t xml:space="preserve">QUINNCY    </t>
  </si>
  <si>
    <t xml:space="preserve">MOYE             </t>
  </si>
  <si>
    <t xml:space="preserve">MOZICK           </t>
  </si>
  <si>
    <t xml:space="preserve">MUDE             </t>
  </si>
  <si>
    <t xml:space="preserve">MUELLER          </t>
  </si>
  <si>
    <t xml:space="preserve">MUHAMMAD         </t>
  </si>
  <si>
    <t xml:space="preserve">DAWUD      </t>
  </si>
  <si>
    <t xml:space="preserve">ISA ISLAM  </t>
  </si>
  <si>
    <t xml:space="preserve">RAZZAQ     </t>
  </si>
  <si>
    <t xml:space="preserve">MUJICA           </t>
  </si>
  <si>
    <t xml:space="preserve">MULI             </t>
  </si>
  <si>
    <t xml:space="preserve">RAPHAEL    </t>
  </si>
  <si>
    <t xml:space="preserve">MULLANEY         </t>
  </si>
  <si>
    <t xml:space="preserve">MULLIN           </t>
  </si>
  <si>
    <t xml:space="preserve">MULLINS          </t>
  </si>
  <si>
    <t xml:space="preserve">MULROONEY        </t>
  </si>
  <si>
    <t xml:space="preserve">MUMFORD          </t>
  </si>
  <si>
    <t xml:space="preserve">NILES      </t>
  </si>
  <si>
    <t xml:space="preserve">MUMITT           </t>
  </si>
  <si>
    <t xml:space="preserve">SHAKA      </t>
  </si>
  <si>
    <t xml:space="preserve">MUNDY            </t>
  </si>
  <si>
    <t xml:space="preserve">MUNGIN           </t>
  </si>
  <si>
    <t xml:space="preserve">MURDY            </t>
  </si>
  <si>
    <t xml:space="preserve">MURPHY           </t>
  </si>
  <si>
    <t xml:space="preserve">JIMAR      </t>
  </si>
  <si>
    <t xml:space="preserve">MURRAY           </t>
  </si>
  <si>
    <t xml:space="preserve">NAQUWAN    </t>
  </si>
  <si>
    <t xml:space="preserve">WILLIM     </t>
  </si>
  <si>
    <t xml:space="preserve">MURRELL          </t>
  </si>
  <si>
    <t xml:space="preserve">GREGGORY   </t>
  </si>
  <si>
    <t xml:space="preserve">MUTSCHLER        </t>
  </si>
  <si>
    <t xml:space="preserve">MUTTER           </t>
  </si>
  <si>
    <t xml:space="preserve">BUEL       </t>
  </si>
  <si>
    <t xml:space="preserve">MUWAH-HID        </t>
  </si>
  <si>
    <t xml:space="preserve">KALIMAH    </t>
  </si>
  <si>
    <t xml:space="preserve">MUWWAKKIL        </t>
  </si>
  <si>
    <t xml:space="preserve">SALEEM     </t>
  </si>
  <si>
    <t xml:space="preserve">MYERS            </t>
  </si>
  <si>
    <t xml:space="preserve">AQUINO     </t>
  </si>
  <si>
    <t xml:space="preserve">NAILOR           </t>
  </si>
  <si>
    <t xml:space="preserve">NAISHA           </t>
  </si>
  <si>
    <t xml:space="preserve">VANESSA    </t>
  </si>
  <si>
    <t xml:space="preserve">NASSIR           </t>
  </si>
  <si>
    <t xml:space="preserve">ZAKII      </t>
  </si>
  <si>
    <t xml:space="preserve">NASTATOS         </t>
  </si>
  <si>
    <t xml:space="preserve">NAVARRO          </t>
  </si>
  <si>
    <t xml:space="preserve">EUDALDO    </t>
  </si>
  <si>
    <t xml:space="preserve">NAVE             </t>
  </si>
  <si>
    <t xml:space="preserve">NEAL             </t>
  </si>
  <si>
    <t xml:space="preserve">DAMION     </t>
  </si>
  <si>
    <t xml:space="preserve">NEAREY           </t>
  </si>
  <si>
    <t xml:space="preserve">NEILL            </t>
  </si>
  <si>
    <t xml:space="preserve">NELSON           </t>
  </si>
  <si>
    <t xml:space="preserve">NEMETZ           </t>
  </si>
  <si>
    <t xml:space="preserve">NEWBILL          </t>
  </si>
  <si>
    <t xml:space="preserve">NEWMAN           </t>
  </si>
  <si>
    <t xml:space="preserve">MARSAAN    </t>
  </si>
  <si>
    <t xml:space="preserve">NEWTON           </t>
  </si>
  <si>
    <t xml:space="preserve">NICHOLS          </t>
  </si>
  <si>
    <t xml:space="preserve">NUGI       </t>
  </si>
  <si>
    <t xml:space="preserve">NICHOLSON        </t>
  </si>
  <si>
    <t xml:space="preserve">NICKERSON        </t>
  </si>
  <si>
    <t xml:space="preserve">NIEVES           </t>
  </si>
  <si>
    <t xml:space="preserve">NIEVES BAEZ      </t>
  </si>
  <si>
    <t>ELMER JATZE</t>
  </si>
  <si>
    <t xml:space="preserve">NIEVES-CRUZ      </t>
  </si>
  <si>
    <t xml:space="preserve">NIEVES-PARRILLA  </t>
  </si>
  <si>
    <t xml:space="preserve">NIZ-CHILEL       </t>
  </si>
  <si>
    <t xml:space="preserve">NOBLE            </t>
  </si>
  <si>
    <t xml:space="preserve">NOCK             </t>
  </si>
  <si>
    <t xml:space="preserve">NOCKS            </t>
  </si>
  <si>
    <t xml:space="preserve">NOKES            </t>
  </si>
  <si>
    <t xml:space="preserve">NORCROSS         </t>
  </si>
  <si>
    <t xml:space="preserve">NORMAN           </t>
  </si>
  <si>
    <t xml:space="preserve">JAAK       </t>
  </si>
  <si>
    <t xml:space="preserve">NORRIS           </t>
  </si>
  <si>
    <t xml:space="preserve">NORTH            </t>
  </si>
  <si>
    <t xml:space="preserve">NORTHERN         </t>
  </si>
  <si>
    <t xml:space="preserve">NORVELL          </t>
  </si>
  <si>
    <t xml:space="preserve">NORWALT          </t>
  </si>
  <si>
    <t xml:space="preserve">NORWOOD          </t>
  </si>
  <si>
    <t xml:space="preserve">SHAQUILL   </t>
  </si>
  <si>
    <t xml:space="preserve">NOTTINGHAM       </t>
  </si>
  <si>
    <t xml:space="preserve">JARON      </t>
  </si>
  <si>
    <t xml:space="preserve">NOVELLO          </t>
  </si>
  <si>
    <t xml:space="preserve">NOVICH           </t>
  </si>
  <si>
    <t xml:space="preserve">NUNEMANN         </t>
  </si>
  <si>
    <t xml:space="preserve">TOMMY      </t>
  </si>
  <si>
    <t xml:space="preserve">NUNEZ            </t>
  </si>
  <si>
    <t xml:space="preserve">NUNN             </t>
  </si>
  <si>
    <t xml:space="preserve">NURSE            </t>
  </si>
  <si>
    <t xml:space="preserve">NYALA            </t>
  </si>
  <si>
    <t xml:space="preserve">DILIP      </t>
  </si>
  <si>
    <t xml:space="preserve">OBRIEN           </t>
  </si>
  <si>
    <t xml:space="preserve">SCOTTY     </t>
  </si>
  <si>
    <t xml:space="preserve">ODAY             </t>
  </si>
  <si>
    <t xml:space="preserve">ODELL            </t>
  </si>
  <si>
    <t xml:space="preserve">ODESEYE          </t>
  </si>
  <si>
    <t xml:space="preserve">TOHEEB     </t>
  </si>
  <si>
    <t xml:space="preserve">OGDEN            </t>
  </si>
  <si>
    <t xml:space="preserve">REGAN      </t>
  </si>
  <si>
    <t xml:space="preserve">OLDHAM           </t>
  </si>
  <si>
    <t xml:space="preserve">OLEARY           </t>
  </si>
  <si>
    <t xml:space="preserve">OLIVER           </t>
  </si>
  <si>
    <t xml:space="preserve">JERRITT    </t>
  </si>
  <si>
    <t xml:space="preserve">OLLIVER          </t>
  </si>
  <si>
    <t xml:space="preserve">REYNOLD    </t>
  </si>
  <si>
    <t xml:space="preserve">ONEAL            </t>
  </si>
  <si>
    <t xml:space="preserve">BRADLEY    </t>
  </si>
  <si>
    <t xml:space="preserve">ONEIL            </t>
  </si>
  <si>
    <t xml:space="preserve">ONEY             </t>
  </si>
  <si>
    <t xml:space="preserve">HASAN      </t>
  </si>
  <si>
    <t xml:space="preserve">ONGAY            </t>
  </si>
  <si>
    <t xml:space="preserve">ELIEZER    </t>
  </si>
  <si>
    <t xml:space="preserve">OQUENDO          </t>
  </si>
  <si>
    <t xml:space="preserve">OROPEZA          </t>
  </si>
  <si>
    <t xml:space="preserve">ORTISAGUILAR     </t>
  </si>
  <si>
    <t xml:space="preserve">DELMAR     </t>
  </si>
  <si>
    <t xml:space="preserve">ORTIZ            </t>
  </si>
  <si>
    <t xml:space="preserve">ISAIAS     </t>
  </si>
  <si>
    <t xml:space="preserve">MARCOS     </t>
  </si>
  <si>
    <t xml:space="preserve">ORTMAN           </t>
  </si>
  <si>
    <t xml:space="preserve">ORTWEIN          </t>
  </si>
  <si>
    <t xml:space="preserve">ORZECHOWSKI      </t>
  </si>
  <si>
    <t xml:space="preserve">OSLOLEK          </t>
  </si>
  <si>
    <t xml:space="preserve">OSTERMANN        </t>
  </si>
  <si>
    <t xml:space="preserve">OTT              </t>
  </si>
  <si>
    <t xml:space="preserve">OUGHTERSON       </t>
  </si>
  <si>
    <t xml:space="preserve">BLAKE      </t>
  </si>
  <si>
    <t xml:space="preserve">OUTLAW           </t>
  </si>
  <si>
    <t xml:space="preserve">OUTTEN           </t>
  </si>
  <si>
    <t xml:space="preserve">OWENS            </t>
  </si>
  <si>
    <t xml:space="preserve">OZTURK           </t>
  </si>
  <si>
    <t>ABDURRAHMAN</t>
  </si>
  <si>
    <t xml:space="preserve">PACINI           </t>
  </si>
  <si>
    <t xml:space="preserve">PACZKOWSKI       </t>
  </si>
  <si>
    <t xml:space="preserve">PADDOCK          </t>
  </si>
  <si>
    <t xml:space="preserve">PAGE             </t>
  </si>
  <si>
    <t xml:space="preserve">PAIGE            </t>
  </si>
  <si>
    <t xml:space="preserve">PAITSEL          </t>
  </si>
  <si>
    <t xml:space="preserve">PALMATEER        </t>
  </si>
  <si>
    <t xml:space="preserve">PALMER           </t>
  </si>
  <si>
    <t xml:space="preserve">ISAIHA     </t>
  </si>
  <si>
    <t xml:space="preserve">PANCHIGAR        </t>
  </si>
  <si>
    <t xml:space="preserve">PANDISCIO        </t>
  </si>
  <si>
    <t xml:space="preserve">PANELLA          </t>
  </si>
  <si>
    <t xml:space="preserve">PANTOJA          </t>
  </si>
  <si>
    <t xml:space="preserve">PAOLETTI         </t>
  </si>
  <si>
    <t xml:space="preserve">PARDO            </t>
  </si>
  <si>
    <t xml:space="preserve">PARHAM           </t>
  </si>
  <si>
    <t xml:space="preserve">WALIKE     </t>
  </si>
  <si>
    <t xml:space="preserve">PARK             </t>
  </si>
  <si>
    <t xml:space="preserve">PARKER           </t>
  </si>
  <si>
    <t xml:space="preserve">JAHLEEL    </t>
  </si>
  <si>
    <t xml:space="preserve">JUJAN      </t>
  </si>
  <si>
    <t xml:space="preserve">SYIEE      </t>
  </si>
  <si>
    <t xml:space="preserve">PARKS            </t>
  </si>
  <si>
    <t xml:space="preserve">BRAJEA     </t>
  </si>
  <si>
    <t xml:space="preserve">NASEEM     </t>
  </si>
  <si>
    <t xml:space="preserve">NYEEM      </t>
  </si>
  <si>
    <t xml:space="preserve">PARLIER          </t>
  </si>
  <si>
    <t xml:space="preserve">PARSON           </t>
  </si>
  <si>
    <t xml:space="preserve">PARSONS          </t>
  </si>
  <si>
    <t xml:space="preserve">STEFANIE   </t>
  </si>
  <si>
    <t xml:space="preserve">PASSWATERS       </t>
  </si>
  <si>
    <t xml:space="preserve">ZACKARY    </t>
  </si>
  <si>
    <t xml:space="preserve">PASTRO           </t>
  </si>
  <si>
    <t xml:space="preserve">JERALD     </t>
  </si>
  <si>
    <t xml:space="preserve">PATCHETT         </t>
  </si>
  <si>
    <t xml:space="preserve">PATRICELLA       </t>
  </si>
  <si>
    <t xml:space="preserve">PATRICK          </t>
  </si>
  <si>
    <t xml:space="preserve">RANDELL    </t>
  </si>
  <si>
    <t xml:space="preserve">PATRON           </t>
  </si>
  <si>
    <t xml:space="preserve">PATTERSON        </t>
  </si>
  <si>
    <t xml:space="preserve">ARIS       </t>
  </si>
  <si>
    <t xml:space="preserve">RASHEED    </t>
  </si>
  <si>
    <t xml:space="preserve">PATTON           </t>
  </si>
  <si>
    <t xml:space="preserve">PAULLEY          </t>
  </si>
  <si>
    <t xml:space="preserve">PAYNE            </t>
  </si>
  <si>
    <t xml:space="preserve">PAYNE-BENNETT    </t>
  </si>
  <si>
    <t xml:space="preserve">PEACE            </t>
  </si>
  <si>
    <t xml:space="preserve">PELZER           </t>
  </si>
  <si>
    <t xml:space="preserve">ALTURO     </t>
  </si>
  <si>
    <t xml:space="preserve">PENA             </t>
  </si>
  <si>
    <t xml:space="preserve">PENDERGRASS      </t>
  </si>
  <si>
    <t xml:space="preserve">PENDLETON        </t>
  </si>
  <si>
    <t xml:space="preserve">EZRA       </t>
  </si>
  <si>
    <t xml:space="preserve">PENN             </t>
  </si>
  <si>
    <t xml:space="preserve">PENNACCHIOTTI    </t>
  </si>
  <si>
    <t xml:space="preserve">PENNINGTON       </t>
  </si>
  <si>
    <t xml:space="preserve">PERDOW           </t>
  </si>
  <si>
    <t xml:space="preserve">PERDUE           </t>
  </si>
  <si>
    <t xml:space="preserve">PEREZ            </t>
  </si>
  <si>
    <t xml:space="preserve">JACKELINE  </t>
  </si>
  <si>
    <t xml:space="preserve">PEREZ MORALES    </t>
  </si>
  <si>
    <t xml:space="preserve">JOSUE      </t>
  </si>
  <si>
    <t xml:space="preserve">PEREZ-GUTIERREZ  </t>
  </si>
  <si>
    <t xml:space="preserve">PEREZ-LOPEZ      </t>
  </si>
  <si>
    <t xml:space="preserve">ESAU       </t>
  </si>
  <si>
    <t xml:space="preserve">PEREZ-NIZ        </t>
  </si>
  <si>
    <t xml:space="preserve">PERI             </t>
  </si>
  <si>
    <t xml:space="preserve">PERKINS          </t>
  </si>
  <si>
    <t xml:space="preserve">ASHSHAHIYD </t>
  </si>
  <si>
    <t xml:space="preserve">HASINI     </t>
  </si>
  <si>
    <t xml:space="preserve">KYNDALE    </t>
  </si>
  <si>
    <t xml:space="preserve">LEON       </t>
  </si>
  <si>
    <t xml:space="preserve">WILBERT    </t>
  </si>
  <si>
    <t xml:space="preserve">PERNOT           </t>
  </si>
  <si>
    <t xml:space="preserve">PERRIGAN         </t>
  </si>
  <si>
    <t xml:space="preserve">PERRY            </t>
  </si>
  <si>
    <t xml:space="preserve">HASSAN     </t>
  </si>
  <si>
    <t xml:space="preserve">KENDALL    </t>
  </si>
  <si>
    <t xml:space="preserve">RYON       </t>
  </si>
  <si>
    <t xml:space="preserve">PERSON           </t>
  </si>
  <si>
    <t xml:space="preserve">PETERS           </t>
  </si>
  <si>
    <t xml:space="preserve">DONMIER    </t>
  </si>
  <si>
    <t xml:space="preserve">PETERSON         </t>
  </si>
  <si>
    <t xml:space="preserve">ALIYA      </t>
  </si>
  <si>
    <t xml:space="preserve">ANTICIOUS  </t>
  </si>
  <si>
    <t xml:space="preserve">PETION           </t>
  </si>
  <si>
    <t xml:space="preserve">SAINT JOE  </t>
  </si>
  <si>
    <t xml:space="preserve">PETRO            </t>
  </si>
  <si>
    <t xml:space="preserve">PETTIT           </t>
  </si>
  <si>
    <t xml:space="preserve">PETTY            </t>
  </si>
  <si>
    <t xml:space="preserve">LEVAL      </t>
  </si>
  <si>
    <t xml:space="preserve">PFAFFENRATH      </t>
  </si>
  <si>
    <t xml:space="preserve">PHELPS           </t>
  </si>
  <si>
    <t xml:space="preserve">PHILHOWER        </t>
  </si>
  <si>
    <t xml:space="preserve">PHILIPSON        </t>
  </si>
  <si>
    <t xml:space="preserve">PHILLIPS         </t>
  </si>
  <si>
    <t xml:space="preserve">ANTONE     </t>
  </si>
  <si>
    <t xml:space="preserve">PHIPPIN          </t>
  </si>
  <si>
    <t xml:space="preserve">DAWN       </t>
  </si>
  <si>
    <t xml:space="preserve">PHIPPS           </t>
  </si>
  <si>
    <t xml:space="preserve">PIATT            </t>
  </si>
  <si>
    <t xml:space="preserve">PICCIOTTI        </t>
  </si>
  <si>
    <t xml:space="preserve">PICKETT          </t>
  </si>
  <si>
    <t xml:space="preserve">PICKLE           </t>
  </si>
  <si>
    <t xml:space="preserve">PIERCE           </t>
  </si>
  <si>
    <t xml:space="preserve">DARRICK    </t>
  </si>
  <si>
    <t xml:space="preserve">LEAMOND    </t>
  </si>
  <si>
    <t xml:space="preserve">NASHAUN    </t>
  </si>
  <si>
    <t xml:space="preserve">PILOT            </t>
  </si>
  <si>
    <t xml:space="preserve">PINDER           </t>
  </si>
  <si>
    <t xml:space="preserve">PINKSTON         </t>
  </si>
  <si>
    <t xml:space="preserve">MATEO      </t>
  </si>
  <si>
    <t xml:space="preserve">PIPER            </t>
  </si>
  <si>
    <t xml:space="preserve">PIPKIN           </t>
  </si>
  <si>
    <t xml:space="preserve">PIPKINS          </t>
  </si>
  <si>
    <t xml:space="preserve">PITTS            </t>
  </si>
  <si>
    <t xml:space="preserve">KORAH      </t>
  </si>
  <si>
    <t xml:space="preserve">LEMMON     </t>
  </si>
  <si>
    <t xml:space="preserve">PLACHES          </t>
  </si>
  <si>
    <t xml:space="preserve">PLEASANTON       </t>
  </si>
  <si>
    <t xml:space="preserve">JACE       </t>
  </si>
  <si>
    <t xml:space="preserve">PLOOF            </t>
  </si>
  <si>
    <t xml:space="preserve">POINTER          </t>
  </si>
  <si>
    <t xml:space="preserve">QASIM      </t>
  </si>
  <si>
    <t xml:space="preserve">POLANCO          </t>
  </si>
  <si>
    <t xml:space="preserve">BONITA     </t>
  </si>
  <si>
    <t xml:space="preserve">POLK             </t>
  </si>
  <si>
    <t xml:space="preserve">DIANDRE    </t>
  </si>
  <si>
    <t xml:space="preserve">POLLARD          </t>
  </si>
  <si>
    <t xml:space="preserve">JONAIR     </t>
  </si>
  <si>
    <t xml:space="preserve">POMALES          </t>
  </si>
  <si>
    <t xml:space="preserve">PONZO            </t>
  </si>
  <si>
    <t xml:space="preserve">POOLE            </t>
  </si>
  <si>
    <t xml:space="preserve">POORE            </t>
  </si>
  <si>
    <t xml:space="preserve">POPE             </t>
  </si>
  <si>
    <t xml:space="preserve">HUBERT     </t>
  </si>
  <si>
    <t xml:space="preserve">PORTER           </t>
  </si>
  <si>
    <t xml:space="preserve">RUBEN      </t>
  </si>
  <si>
    <t xml:space="preserve">POTTER           </t>
  </si>
  <si>
    <t xml:space="preserve">POTTS            </t>
  </si>
  <si>
    <t xml:space="preserve">TYLEERE    </t>
  </si>
  <si>
    <t xml:space="preserve">POWELL           </t>
  </si>
  <si>
    <t xml:space="preserve">AKUA       </t>
  </si>
  <si>
    <t xml:space="preserve">PRATT            </t>
  </si>
  <si>
    <t xml:space="preserve">ARTIE      </t>
  </si>
  <si>
    <t xml:space="preserve">PRATTIS          </t>
  </si>
  <si>
    <t xml:space="preserve">PREDEOUX         </t>
  </si>
  <si>
    <t xml:space="preserve">OTHELO     </t>
  </si>
  <si>
    <t xml:space="preserve">PRESSEY          </t>
  </si>
  <si>
    <t xml:space="preserve">DEION      </t>
  </si>
  <si>
    <t xml:space="preserve">PRESSLEY         </t>
  </si>
  <si>
    <t xml:space="preserve">PRESTON          </t>
  </si>
  <si>
    <t xml:space="preserve">PRETTYMAN        </t>
  </si>
  <si>
    <t xml:space="preserve">PRICE            </t>
  </si>
  <si>
    <t xml:space="preserve">AL-GHANIYY </t>
  </si>
  <si>
    <t xml:space="preserve">LOU        </t>
  </si>
  <si>
    <t xml:space="preserve">MILLARD    </t>
  </si>
  <si>
    <t xml:space="preserve">SHAMONE    </t>
  </si>
  <si>
    <t>T3484050</t>
  </si>
  <si>
    <t xml:space="preserve">PRIETO           </t>
  </si>
  <si>
    <t xml:space="preserve">PRINCE           </t>
  </si>
  <si>
    <t xml:space="preserve">LEONDREI   </t>
  </si>
  <si>
    <t xml:space="preserve">RADEE      </t>
  </si>
  <si>
    <t xml:space="preserve">PRINCIPE         </t>
  </si>
  <si>
    <t xml:space="preserve">PRINGLE          </t>
  </si>
  <si>
    <t xml:space="preserve">PRITCHETT        </t>
  </si>
  <si>
    <t xml:space="preserve">TAIKWAN    </t>
  </si>
  <si>
    <t xml:space="preserve">PROCTOR          </t>
  </si>
  <si>
    <t xml:space="preserve">MARTINO    </t>
  </si>
  <si>
    <t xml:space="preserve">PUCKETT          </t>
  </si>
  <si>
    <t xml:space="preserve">PUCKHAM          </t>
  </si>
  <si>
    <t xml:space="preserve">PUFF             </t>
  </si>
  <si>
    <t xml:space="preserve">PUGH             </t>
  </si>
  <si>
    <t xml:space="preserve">BRAHAM     </t>
  </si>
  <si>
    <t xml:space="preserve">DIONNA     </t>
  </si>
  <si>
    <t xml:space="preserve">PULLER           </t>
  </si>
  <si>
    <t xml:space="preserve">KLEON      </t>
  </si>
  <si>
    <t xml:space="preserve">PULLIMAN         </t>
  </si>
  <si>
    <t xml:space="preserve">MARKEVUS   </t>
  </si>
  <si>
    <t xml:space="preserve">PUMPHREY         </t>
  </si>
  <si>
    <t xml:space="preserve">PURNELL          </t>
  </si>
  <si>
    <t xml:space="preserve">DERONTE    </t>
  </si>
  <si>
    <t xml:space="preserve">KIERAN     </t>
  </si>
  <si>
    <t xml:space="preserve">PURYEAR          </t>
  </si>
  <si>
    <t xml:space="preserve">PUSEY            </t>
  </si>
  <si>
    <t xml:space="preserve">QUALIES          </t>
  </si>
  <si>
    <t xml:space="preserve">QUEEN            </t>
  </si>
  <si>
    <t xml:space="preserve">QUESENBERRY      </t>
  </si>
  <si>
    <t xml:space="preserve">QUILL            </t>
  </si>
  <si>
    <t xml:space="preserve">QUILLEN          </t>
  </si>
  <si>
    <t xml:space="preserve">QUINN            </t>
  </si>
  <si>
    <t xml:space="preserve">QUINONES         </t>
  </si>
  <si>
    <t>QUINONES-MARTINEZ</t>
  </si>
  <si>
    <t xml:space="preserve">RADCLIFFE        </t>
  </si>
  <si>
    <t xml:space="preserve">RAFFELL          </t>
  </si>
  <si>
    <t xml:space="preserve">RAHSHEER         </t>
  </si>
  <si>
    <t xml:space="preserve">RAINEY           </t>
  </si>
  <si>
    <t xml:space="preserve">JAHDI      </t>
  </si>
  <si>
    <t xml:space="preserve">RAINFORD         </t>
  </si>
  <si>
    <t xml:space="preserve">YANIQUE    </t>
  </si>
  <si>
    <t xml:space="preserve">RAISON           </t>
  </si>
  <si>
    <t xml:space="preserve">HAYIM      </t>
  </si>
  <si>
    <t xml:space="preserve">RAMIREZ          </t>
  </si>
  <si>
    <t xml:space="preserve">ARMANDO    </t>
  </si>
  <si>
    <t xml:space="preserve">RAMIREZ ORTIZ    </t>
  </si>
  <si>
    <t xml:space="preserve">RAMIREZ RAMOS    </t>
  </si>
  <si>
    <t xml:space="preserve">FELICIANO  </t>
  </si>
  <si>
    <t xml:space="preserve">RAMOS            </t>
  </si>
  <si>
    <t xml:space="preserve">REYNALDO   </t>
  </si>
  <si>
    <t xml:space="preserve">SUSAN      </t>
  </si>
  <si>
    <t xml:space="preserve">RAMOS MIRANDA    </t>
  </si>
  <si>
    <t xml:space="preserve">FILADELFO  </t>
  </si>
  <si>
    <t xml:space="preserve">RAMOS-LOPEZ      </t>
  </si>
  <si>
    <t xml:space="preserve">EFRAIN     </t>
  </si>
  <si>
    <t xml:space="preserve">RAMSEY           </t>
  </si>
  <si>
    <t xml:space="preserve">RANDOLPH         </t>
  </si>
  <si>
    <t xml:space="preserve">KIMJWONNA  </t>
  </si>
  <si>
    <t xml:space="preserve">RANKIN           </t>
  </si>
  <si>
    <t xml:space="preserve">RASHEED          </t>
  </si>
  <si>
    <t xml:space="preserve">ABDUR      </t>
  </si>
  <si>
    <t xml:space="preserve">RASHID           </t>
  </si>
  <si>
    <t xml:space="preserve">ALI        </t>
  </si>
  <si>
    <t xml:space="preserve">RASIN            </t>
  </si>
  <si>
    <t xml:space="preserve">RAUF             </t>
  </si>
  <si>
    <t xml:space="preserve">RAWLEY           </t>
  </si>
  <si>
    <t xml:space="preserve">RAY              </t>
  </si>
  <si>
    <t xml:space="preserve">REUEL      </t>
  </si>
  <si>
    <t xml:space="preserve">RE               </t>
  </si>
  <si>
    <t xml:space="preserve">READER           </t>
  </si>
  <si>
    <t xml:space="preserve">REAMER           </t>
  </si>
  <si>
    <t xml:space="preserve">REAMS            </t>
  </si>
  <si>
    <t xml:space="preserve">JAIKEVIS   </t>
  </si>
  <si>
    <t xml:space="preserve">REBMAN           </t>
  </si>
  <si>
    <t xml:space="preserve">REDDEN           </t>
  </si>
  <si>
    <t xml:space="preserve">LQUAN      </t>
  </si>
  <si>
    <t xml:space="preserve">REDDICK          </t>
  </si>
  <si>
    <t xml:space="preserve">AARIC      </t>
  </si>
  <si>
    <t xml:space="preserve">REDDING          </t>
  </si>
  <si>
    <t xml:space="preserve">REDMOND          </t>
  </si>
  <si>
    <t xml:space="preserve">REED             </t>
  </si>
  <si>
    <t xml:space="preserve">JHALEEL    </t>
  </si>
  <si>
    <t xml:space="preserve">SEMEION    </t>
  </si>
  <si>
    <t xml:space="preserve">REEDER           </t>
  </si>
  <si>
    <t xml:space="preserve">REESE            </t>
  </si>
  <si>
    <t xml:space="preserve">THERION    </t>
  </si>
  <si>
    <t xml:space="preserve">REEVES           </t>
  </si>
  <si>
    <t xml:space="preserve">CLIFFORD   </t>
  </si>
  <si>
    <t xml:space="preserve">KALIF      </t>
  </si>
  <si>
    <t xml:space="preserve">REHBACH          </t>
  </si>
  <si>
    <t xml:space="preserve">REID             </t>
  </si>
  <si>
    <t xml:space="preserve">JOESEAFORS </t>
  </si>
  <si>
    <t xml:space="preserve">REIDY            </t>
  </si>
  <si>
    <t xml:space="preserve">REIHMS           </t>
  </si>
  <si>
    <t xml:space="preserve">REILLY           </t>
  </si>
  <si>
    <t xml:space="preserve">REINHOLD         </t>
  </si>
  <si>
    <t xml:space="preserve">REMBERT          </t>
  </si>
  <si>
    <t xml:space="preserve">LEKARO     </t>
  </si>
  <si>
    <t xml:space="preserve">RENAI            </t>
  </si>
  <si>
    <t xml:space="preserve">RENTERIA         </t>
  </si>
  <si>
    <t xml:space="preserve">RESTREPO-DUQUE   </t>
  </si>
  <si>
    <t xml:space="preserve">REYES            </t>
  </si>
  <si>
    <t xml:space="preserve">ZEFERINO   </t>
  </si>
  <si>
    <t xml:space="preserve">REYES-HERNANDEZ  </t>
  </si>
  <si>
    <t xml:space="preserve">IGNACIO    </t>
  </si>
  <si>
    <t xml:space="preserve">REYNEL           </t>
  </si>
  <si>
    <t xml:space="preserve">REYNOLDS         </t>
  </si>
  <si>
    <t xml:space="preserve">CANDIDO    </t>
  </si>
  <si>
    <t xml:space="preserve">JACLYNNE   </t>
  </si>
  <si>
    <t xml:space="preserve">RHEA             </t>
  </si>
  <si>
    <t xml:space="preserve">RHINEHARDT       </t>
  </si>
  <si>
    <t xml:space="preserve">RICCI            </t>
  </si>
  <si>
    <t xml:space="preserve">RICE             </t>
  </si>
  <si>
    <t xml:space="preserve">RICHARD          </t>
  </si>
  <si>
    <t xml:space="preserve">RICHARDS         </t>
  </si>
  <si>
    <t xml:space="preserve">MAKIM      </t>
  </si>
  <si>
    <t xml:space="preserve">RICHARDSON       </t>
  </si>
  <si>
    <t xml:space="preserve">DEVEN      </t>
  </si>
  <si>
    <t xml:space="preserve">EARNEST    </t>
  </si>
  <si>
    <t xml:space="preserve">JERREE     </t>
  </si>
  <si>
    <t xml:space="preserve">RICHMOND         </t>
  </si>
  <si>
    <t xml:space="preserve">RICKETTS         </t>
  </si>
  <si>
    <t xml:space="preserve">JAVAR      </t>
  </si>
  <si>
    <t xml:space="preserve">RICO             </t>
  </si>
  <si>
    <t xml:space="preserve">RIDDICK          </t>
  </si>
  <si>
    <t xml:space="preserve">CHARLIE    </t>
  </si>
  <si>
    <t xml:space="preserve">RIDDOCK          </t>
  </si>
  <si>
    <t xml:space="preserve">RIDENOUR         </t>
  </si>
  <si>
    <t xml:space="preserve">RIDER            </t>
  </si>
  <si>
    <t xml:space="preserve">RIDGELL          </t>
  </si>
  <si>
    <t xml:space="preserve">JAYVAUGHN  </t>
  </si>
  <si>
    <t xml:space="preserve">RIGBY            </t>
  </si>
  <si>
    <t xml:space="preserve">RIGHTER          </t>
  </si>
  <si>
    <t xml:space="preserve">RIGSBY           </t>
  </si>
  <si>
    <t xml:space="preserve">RIKER            </t>
  </si>
  <si>
    <t xml:space="preserve">NIRANGAN   </t>
  </si>
  <si>
    <t xml:space="preserve">RILEY            </t>
  </si>
  <si>
    <t xml:space="preserve">KERVEY     </t>
  </si>
  <si>
    <t xml:space="preserve">RING             </t>
  </si>
  <si>
    <t xml:space="preserve">RIOS-MARTINEZ    </t>
  </si>
  <si>
    <t xml:space="preserve">RIPPELL          </t>
  </si>
  <si>
    <t xml:space="preserve">RISPER           </t>
  </si>
  <si>
    <t xml:space="preserve">MCARTHUR   </t>
  </si>
  <si>
    <t xml:space="preserve">RITTENHOUSE      </t>
  </si>
  <si>
    <t xml:space="preserve">RIVERA           </t>
  </si>
  <si>
    <t xml:space="preserve">ANDRES     </t>
  </si>
  <si>
    <t xml:space="preserve">PEDRO      </t>
  </si>
  <si>
    <t xml:space="preserve">ROBINSON   </t>
  </si>
  <si>
    <t xml:space="preserve">RIVERS           </t>
  </si>
  <si>
    <t xml:space="preserve">RIZZO            </t>
  </si>
  <si>
    <t xml:space="preserve">ROACH            </t>
  </si>
  <si>
    <t xml:space="preserve">ETOY       </t>
  </si>
  <si>
    <t xml:space="preserve">EVERSON    </t>
  </si>
  <si>
    <t xml:space="preserve">ROANE            </t>
  </si>
  <si>
    <t xml:space="preserve">JARRETT    </t>
  </si>
  <si>
    <t xml:space="preserve">RASHID     </t>
  </si>
  <si>
    <t xml:space="preserve">SALAAM     </t>
  </si>
  <si>
    <t xml:space="preserve">TYEEM      </t>
  </si>
  <si>
    <t xml:space="preserve">ROBBINS          </t>
  </si>
  <si>
    <t xml:space="preserve">ROBERT           </t>
  </si>
  <si>
    <t xml:space="preserve">DAYMIEN    </t>
  </si>
  <si>
    <t xml:space="preserve">ROBERTS          </t>
  </si>
  <si>
    <t xml:space="preserve">PERCELL    </t>
  </si>
  <si>
    <t xml:space="preserve">ROBERTSON        </t>
  </si>
  <si>
    <t xml:space="preserve">FCHANTE    </t>
  </si>
  <si>
    <t xml:space="preserve">ROBINSON         </t>
  </si>
  <si>
    <t xml:space="preserve">COLBERT    </t>
  </si>
  <si>
    <t xml:space="preserve">DEJUAN     </t>
  </si>
  <si>
    <t xml:space="preserve">DEONTE     </t>
  </si>
  <si>
    <t xml:space="preserve">DOMERE     </t>
  </si>
  <si>
    <t xml:space="preserve">JACQUEZ    </t>
  </si>
  <si>
    <t xml:space="preserve">LAMMOTE    </t>
  </si>
  <si>
    <t xml:space="preserve">SANTISE    </t>
  </si>
  <si>
    <t xml:space="preserve">SHAYE      </t>
  </si>
  <si>
    <t xml:space="preserve">TYKEME     </t>
  </si>
  <si>
    <t xml:space="preserve">ROBLEDO          </t>
  </si>
  <si>
    <t>ROBLEROMAZARIEGOS</t>
  </si>
  <si>
    <t xml:space="preserve">ROBLES           </t>
  </si>
  <si>
    <t xml:space="preserve">ROBSON           </t>
  </si>
  <si>
    <t xml:space="preserve">ROCHESTER        </t>
  </si>
  <si>
    <t xml:space="preserve">ROCKLE           </t>
  </si>
  <si>
    <t xml:space="preserve">RODEBAUGH        </t>
  </si>
  <si>
    <t xml:space="preserve">RODGERS          </t>
  </si>
  <si>
    <t xml:space="preserve">RODRIGUEZ        </t>
  </si>
  <si>
    <t xml:space="preserve">EUSEHIO    </t>
  </si>
  <si>
    <t xml:space="preserve">JONATAN    </t>
  </si>
  <si>
    <t xml:space="preserve">LETICIA    </t>
  </si>
  <si>
    <t xml:space="preserve">RODRIGUEZ-ORTIZ  </t>
  </si>
  <si>
    <t xml:space="preserve">RODRIQUEZ        </t>
  </si>
  <si>
    <t xml:space="preserve">DEQUAN     </t>
  </si>
  <si>
    <t xml:space="preserve">ROGERS           </t>
  </si>
  <si>
    <t xml:space="preserve">DANDRE     </t>
  </si>
  <si>
    <t xml:space="preserve">ROHRER           </t>
  </si>
  <si>
    <t xml:space="preserve">ROJAS            </t>
  </si>
  <si>
    <t xml:space="preserve">JOSELITO   </t>
  </si>
  <si>
    <t xml:space="preserve">ROJAS-CORTEZ     </t>
  </si>
  <si>
    <t xml:space="preserve">AURELIANO  </t>
  </si>
  <si>
    <t xml:space="preserve">ROJAS-HERRERA    </t>
  </si>
  <si>
    <t xml:space="preserve">EDGAR      </t>
  </si>
  <si>
    <t xml:space="preserve">ROLLINS          </t>
  </si>
  <si>
    <t xml:space="preserve">DUANE      </t>
  </si>
  <si>
    <t xml:space="preserve">ROMAN            </t>
  </si>
  <si>
    <t xml:space="preserve">ROMANO           </t>
  </si>
  <si>
    <t xml:space="preserve">ROMEO            </t>
  </si>
  <si>
    <t xml:space="preserve">COURTLAND  </t>
  </si>
  <si>
    <t xml:space="preserve">ROMERO           </t>
  </si>
  <si>
    <t xml:space="preserve">ROSA             </t>
  </si>
  <si>
    <t xml:space="preserve">ROSADO           </t>
  </si>
  <si>
    <t xml:space="preserve">ROSAS            </t>
  </si>
  <si>
    <t xml:space="preserve">ROSCHEL          </t>
  </si>
  <si>
    <t xml:space="preserve">ROSE             </t>
  </si>
  <si>
    <t xml:space="preserve">KADEEM     </t>
  </si>
  <si>
    <t xml:space="preserve">ONEIL      </t>
  </si>
  <si>
    <t xml:space="preserve">ROSEN            </t>
  </si>
  <si>
    <t xml:space="preserve">ROSENTHAL        </t>
  </si>
  <si>
    <t xml:space="preserve">ROSETTA          </t>
  </si>
  <si>
    <t xml:space="preserve">ROSS             </t>
  </si>
  <si>
    <t xml:space="preserve">DONTA      </t>
  </si>
  <si>
    <t xml:space="preserve">JARNEL     </t>
  </si>
  <si>
    <t xml:space="preserve">JERMEASE   </t>
  </si>
  <si>
    <t xml:space="preserve">KHALIER    </t>
  </si>
  <si>
    <t xml:space="preserve">ROSS-MILLER      </t>
  </si>
  <si>
    <t xml:space="preserve">STEFFONE   </t>
  </si>
  <si>
    <t xml:space="preserve">ROSSER           </t>
  </si>
  <si>
    <t xml:space="preserve">ROSSI            </t>
  </si>
  <si>
    <t xml:space="preserve">ROSSITER         </t>
  </si>
  <si>
    <t xml:space="preserve">ROTEN            </t>
  </si>
  <si>
    <t xml:space="preserve">BEN        </t>
  </si>
  <si>
    <t xml:space="preserve">ROTH             </t>
  </si>
  <si>
    <t xml:space="preserve">ROUNDTREE        </t>
  </si>
  <si>
    <t xml:space="preserve">JERRIN     </t>
  </si>
  <si>
    <t xml:space="preserve">ROWAN            </t>
  </si>
  <si>
    <t xml:space="preserve">ROWE             </t>
  </si>
  <si>
    <t xml:space="preserve">VAUGHAN    </t>
  </si>
  <si>
    <t xml:space="preserve">ROWLEY           </t>
  </si>
  <si>
    <t xml:space="preserve">ROY              </t>
  </si>
  <si>
    <t xml:space="preserve">SAVON      </t>
  </si>
  <si>
    <t xml:space="preserve">ROYAL            </t>
  </si>
  <si>
    <t xml:space="preserve">ROYLE            </t>
  </si>
  <si>
    <t xml:space="preserve">RUARK            </t>
  </si>
  <si>
    <t xml:space="preserve">RUBINI           </t>
  </si>
  <si>
    <t xml:space="preserve">RUCINSKI         </t>
  </si>
  <si>
    <t xml:space="preserve">MELLISA    </t>
  </si>
  <si>
    <t xml:space="preserve">RUDGE            </t>
  </si>
  <si>
    <t xml:space="preserve">RUFFIN           </t>
  </si>
  <si>
    <t xml:space="preserve">RUFUS            </t>
  </si>
  <si>
    <t xml:space="preserve">RUGGERIO         </t>
  </si>
  <si>
    <t xml:space="preserve">RUH              </t>
  </si>
  <si>
    <t xml:space="preserve">RUNKLE           </t>
  </si>
  <si>
    <t xml:space="preserve">RUSH-WILSON      </t>
  </si>
  <si>
    <t xml:space="preserve">STEFAN     </t>
  </si>
  <si>
    <t xml:space="preserve">RUSSELL          </t>
  </si>
  <si>
    <t xml:space="preserve">RUST             </t>
  </si>
  <si>
    <t xml:space="preserve">TERRI      </t>
  </si>
  <si>
    <t xml:space="preserve">RUTLEDGE         </t>
  </si>
  <si>
    <t xml:space="preserve">RYLE             </t>
  </si>
  <si>
    <t xml:space="preserve">SAFEER     </t>
  </si>
  <si>
    <t xml:space="preserve">SAAVEDRA         </t>
  </si>
  <si>
    <t xml:space="preserve">ELDER      </t>
  </si>
  <si>
    <t xml:space="preserve">SABB             </t>
  </si>
  <si>
    <t xml:space="preserve">LEERON     </t>
  </si>
  <si>
    <t xml:space="preserve">SADDLER          </t>
  </si>
  <si>
    <t xml:space="preserve">SADLER           </t>
  </si>
  <si>
    <t xml:space="preserve">QUADAIRE   </t>
  </si>
  <si>
    <t xml:space="preserve">SADOWY           </t>
  </si>
  <si>
    <t xml:space="preserve">NANCY      </t>
  </si>
  <si>
    <t xml:space="preserve">SAHIN            </t>
  </si>
  <si>
    <t xml:space="preserve">RAMAZAN    </t>
  </si>
  <si>
    <t xml:space="preserve">SALABERRIOS      </t>
  </si>
  <si>
    <t xml:space="preserve">SALASKY          </t>
  </si>
  <si>
    <t xml:space="preserve">SALMERON         </t>
  </si>
  <si>
    <t xml:space="preserve">SAMMONS          </t>
  </si>
  <si>
    <t xml:space="preserve">ADRIENNE   </t>
  </si>
  <si>
    <t xml:space="preserve">SAMPLE           </t>
  </si>
  <si>
    <t xml:space="preserve">MESHACK    </t>
  </si>
  <si>
    <t xml:space="preserve">SAMUEL           </t>
  </si>
  <si>
    <t xml:space="preserve">SAMUELS          </t>
  </si>
  <si>
    <t xml:space="preserve">CARGILL    </t>
  </si>
  <si>
    <t xml:space="preserve">SANCHEZ          </t>
  </si>
  <si>
    <t xml:space="preserve">AURELIO    </t>
  </si>
  <si>
    <t xml:space="preserve">KWAMEY     </t>
  </si>
  <si>
    <t xml:space="preserve">SANDERS          </t>
  </si>
  <si>
    <t xml:space="preserve">MAHNYA     </t>
  </si>
  <si>
    <t xml:space="preserve">RAYTEL     </t>
  </si>
  <si>
    <t xml:space="preserve">SANDERS-BURNS    </t>
  </si>
  <si>
    <t xml:space="preserve">SANDOVAL         </t>
  </si>
  <si>
    <t xml:space="preserve">SANDOVAL-ESPARZA </t>
  </si>
  <si>
    <t xml:space="preserve">RAMIRO     </t>
  </si>
  <si>
    <t xml:space="preserve">SANDS            </t>
  </si>
  <si>
    <t xml:space="preserve">SANDUSKY         </t>
  </si>
  <si>
    <t xml:space="preserve">SANTIAGO         </t>
  </si>
  <si>
    <t xml:space="preserve">SANTOS           </t>
  </si>
  <si>
    <t xml:space="preserve">SANTUCCI         </t>
  </si>
  <si>
    <t xml:space="preserve">SANWUAKOWUAH     </t>
  </si>
  <si>
    <t xml:space="preserve">SARTIN           </t>
  </si>
  <si>
    <t xml:space="preserve">SATCHELL         </t>
  </si>
  <si>
    <t xml:space="preserve">AN'DESHIA  </t>
  </si>
  <si>
    <t xml:space="preserve">SATCHER          </t>
  </si>
  <si>
    <t xml:space="preserve">SATTERFIELD      </t>
  </si>
  <si>
    <t xml:space="preserve">SAUCEDO          </t>
  </si>
  <si>
    <t xml:space="preserve">SAUNDERS         </t>
  </si>
  <si>
    <t xml:space="preserve">SAVAGE           </t>
  </si>
  <si>
    <t xml:space="preserve">SAVIN            </t>
  </si>
  <si>
    <t xml:space="preserve">SAWYER           </t>
  </si>
  <si>
    <t xml:space="preserve">SCAGGS           </t>
  </si>
  <si>
    <t xml:space="preserve">SCALES           </t>
  </si>
  <si>
    <t xml:space="preserve">AMARI      </t>
  </si>
  <si>
    <t xml:space="preserve">SCANNAPIECO      </t>
  </si>
  <si>
    <t xml:space="preserve">SCARBOROUGH      </t>
  </si>
  <si>
    <t xml:space="preserve">SCHILLING        </t>
  </si>
  <si>
    <t xml:space="preserve">SCHMIDT          </t>
  </si>
  <si>
    <t xml:space="preserve">SCHNADER         </t>
  </si>
  <si>
    <t xml:space="preserve">SCHNARES         </t>
  </si>
  <si>
    <t xml:space="preserve">SCHOFIELD        </t>
  </si>
  <si>
    <t xml:space="preserve">LIAM       </t>
  </si>
  <si>
    <t xml:space="preserve">SCHUELLER        </t>
  </si>
  <si>
    <t xml:space="preserve">SCHURGA          </t>
  </si>
  <si>
    <t xml:space="preserve">SCHUYLER         </t>
  </si>
  <si>
    <t xml:space="preserve">SCHWEIGER        </t>
  </si>
  <si>
    <t xml:space="preserve">SCOTT            </t>
  </si>
  <si>
    <t xml:space="preserve">DESMOND    </t>
  </si>
  <si>
    <t xml:space="preserve">KAMERON    </t>
  </si>
  <si>
    <t xml:space="preserve">KHALIQ     </t>
  </si>
  <si>
    <t xml:space="preserve">OMARR      </t>
  </si>
  <si>
    <t xml:space="preserve">RASHED     </t>
  </si>
  <si>
    <t xml:space="preserve">SCRUGGS          </t>
  </si>
  <si>
    <t xml:space="preserve">LAMMOT     </t>
  </si>
  <si>
    <t xml:space="preserve">SEABROOKS        </t>
  </si>
  <si>
    <t xml:space="preserve">SEAL             </t>
  </si>
  <si>
    <t xml:space="preserve">SEALS            </t>
  </si>
  <si>
    <t xml:space="preserve">JACKQUEZ   </t>
  </si>
  <si>
    <t xml:space="preserve">QUAMYR     </t>
  </si>
  <si>
    <t xml:space="preserve">SEARCEY          </t>
  </si>
  <si>
    <t xml:space="preserve">SEARLE           </t>
  </si>
  <si>
    <t xml:space="preserve">SEBASTIAN        </t>
  </si>
  <si>
    <t xml:space="preserve">SEENEY           </t>
  </si>
  <si>
    <t xml:space="preserve">SELBY            </t>
  </si>
  <si>
    <t xml:space="preserve">JAWONE     </t>
  </si>
  <si>
    <t xml:space="preserve">SELL             </t>
  </si>
  <si>
    <t xml:space="preserve">SELLERS          </t>
  </si>
  <si>
    <t xml:space="preserve">SELLS            </t>
  </si>
  <si>
    <t xml:space="preserve">SELNER           </t>
  </si>
  <si>
    <t xml:space="preserve">SENQUIZ          </t>
  </si>
  <si>
    <t xml:space="preserve">GENERIO    </t>
  </si>
  <si>
    <t xml:space="preserve">SERAMONE         </t>
  </si>
  <si>
    <t xml:space="preserve">SERMAN           </t>
  </si>
  <si>
    <t xml:space="preserve">JAMISON    </t>
  </si>
  <si>
    <t xml:space="preserve">SERPA            </t>
  </si>
  <si>
    <t xml:space="preserve">SESSOMS          </t>
  </si>
  <si>
    <t xml:space="preserve">SETH             </t>
  </si>
  <si>
    <t xml:space="preserve">KENDAL     </t>
  </si>
  <si>
    <t xml:space="preserve">TREQUON    </t>
  </si>
  <si>
    <t xml:space="preserve">SEWARD           </t>
  </si>
  <si>
    <t xml:space="preserve">SEYMORE          </t>
  </si>
  <si>
    <t xml:space="preserve">SEYMOUR          </t>
  </si>
  <si>
    <t xml:space="preserve">SHABAZZ          </t>
  </si>
  <si>
    <t xml:space="preserve">ABDUL-HAQQ </t>
  </si>
  <si>
    <t xml:space="preserve">SHACKELFORD      </t>
  </si>
  <si>
    <t xml:space="preserve">SHAH             </t>
  </si>
  <si>
    <t xml:space="preserve">KUSHAL     </t>
  </si>
  <si>
    <t xml:space="preserve">SHAKIR           </t>
  </si>
  <si>
    <t xml:space="preserve">DELQUAN    </t>
  </si>
  <si>
    <t xml:space="preserve">NAFIS      </t>
  </si>
  <si>
    <t xml:space="preserve">SHANKARAS        </t>
  </si>
  <si>
    <t xml:space="preserve">SHARP            </t>
  </si>
  <si>
    <t xml:space="preserve">SHARPE           </t>
  </si>
  <si>
    <t xml:space="preserve">JAEIR      </t>
  </si>
  <si>
    <t xml:space="preserve">SHAW             </t>
  </si>
  <si>
    <t xml:space="preserve">SHELLEY          </t>
  </si>
  <si>
    <t xml:space="preserve">SHELTON          </t>
  </si>
  <si>
    <t xml:space="preserve">PORSHA     </t>
  </si>
  <si>
    <t xml:space="preserve">SHEPEARD         </t>
  </si>
  <si>
    <t xml:space="preserve">CHERON     </t>
  </si>
  <si>
    <t xml:space="preserve">SHEPHERD         </t>
  </si>
  <si>
    <t xml:space="preserve">SHEPPARD         </t>
  </si>
  <si>
    <t xml:space="preserve">RAYSHAWN   </t>
  </si>
  <si>
    <t xml:space="preserve">SHERMAN          </t>
  </si>
  <si>
    <t xml:space="preserve">SHETZLER         </t>
  </si>
  <si>
    <t xml:space="preserve">SHIELDS          </t>
  </si>
  <si>
    <t xml:space="preserve">SHIPLEY          </t>
  </si>
  <si>
    <t xml:space="preserve">SHIVERS          </t>
  </si>
  <si>
    <t xml:space="preserve">SHOCKLEY         </t>
  </si>
  <si>
    <t xml:space="preserve">JOHNNIE    </t>
  </si>
  <si>
    <t xml:space="preserve">MARVEL     </t>
  </si>
  <si>
    <t xml:space="preserve">SHORT            </t>
  </si>
  <si>
    <t xml:space="preserve">SHOVER           </t>
  </si>
  <si>
    <t xml:space="preserve">SHOWELL          </t>
  </si>
  <si>
    <t xml:space="preserve">DEMICHAEL  </t>
  </si>
  <si>
    <t xml:space="preserve">SHUMATE          </t>
  </si>
  <si>
    <t xml:space="preserve">SIERRA           </t>
  </si>
  <si>
    <t xml:space="preserve">SILVA            </t>
  </si>
  <si>
    <t xml:space="preserve">ELIJIO     </t>
  </si>
  <si>
    <t xml:space="preserve">SILVESTRE        </t>
  </si>
  <si>
    <t xml:space="preserve">SILVILS          </t>
  </si>
  <si>
    <t xml:space="preserve">SIMMONS          </t>
  </si>
  <si>
    <t xml:space="preserve">CAHLIL     </t>
  </si>
  <si>
    <t xml:space="preserve">LATIF      </t>
  </si>
  <si>
    <t xml:space="preserve">SIMMS            </t>
  </si>
  <si>
    <t xml:space="preserve">SIMON            </t>
  </si>
  <si>
    <t xml:space="preserve">SIMPKINS         </t>
  </si>
  <si>
    <t xml:space="preserve">SIMPSON          </t>
  </si>
  <si>
    <t xml:space="preserve">SINCLAIR         </t>
  </si>
  <si>
    <t xml:space="preserve">SINGH            </t>
  </si>
  <si>
    <t xml:space="preserve">KHARAK     </t>
  </si>
  <si>
    <t xml:space="preserve">ROSEMARIE  </t>
  </si>
  <si>
    <t xml:space="preserve">SINGLETARY       </t>
  </si>
  <si>
    <t xml:space="preserve">SINGLETON        </t>
  </si>
  <si>
    <t xml:space="preserve">SISSEL           </t>
  </si>
  <si>
    <t xml:space="preserve">SKINNER          </t>
  </si>
  <si>
    <t xml:space="preserve">PERCY      </t>
  </si>
  <si>
    <t xml:space="preserve">STUART     </t>
  </si>
  <si>
    <t xml:space="preserve">SLADE            </t>
  </si>
  <si>
    <t xml:space="preserve">SLATER           </t>
  </si>
  <si>
    <t xml:space="preserve">SLAYTON          </t>
  </si>
  <si>
    <t xml:space="preserve">SLEDGE           </t>
  </si>
  <si>
    <t xml:space="preserve">SLIWINSKI        </t>
  </si>
  <si>
    <t xml:space="preserve">SMACK            </t>
  </si>
  <si>
    <t xml:space="preserve">ADRIN      </t>
  </si>
  <si>
    <t xml:space="preserve">SMALL            </t>
  </si>
  <si>
    <t xml:space="preserve">HADEEM     </t>
  </si>
  <si>
    <t xml:space="preserve">SMALLWOOD        </t>
  </si>
  <si>
    <t xml:space="preserve">SMART            </t>
  </si>
  <si>
    <t xml:space="preserve">SMILEY           </t>
  </si>
  <si>
    <t xml:space="preserve">ORIS       </t>
  </si>
  <si>
    <t xml:space="preserve">SMITH            </t>
  </si>
  <si>
    <t xml:space="preserve">CHARLESE   </t>
  </si>
  <si>
    <t xml:space="preserve">DANIAYA    </t>
  </si>
  <si>
    <t xml:space="preserve">DERRO      </t>
  </si>
  <si>
    <t xml:space="preserve">DRU        </t>
  </si>
  <si>
    <t xml:space="preserve">JAY        </t>
  </si>
  <si>
    <t xml:space="preserve">JYAIRE     </t>
  </si>
  <si>
    <t xml:space="preserve">LEONTAY    </t>
  </si>
  <si>
    <t xml:space="preserve">MERLIN     </t>
  </si>
  <si>
    <t xml:space="preserve">SHAQUONE   </t>
  </si>
  <si>
    <t xml:space="preserve">SHIRLEY    </t>
  </si>
  <si>
    <t xml:space="preserve">TIERA      </t>
  </si>
  <si>
    <t xml:space="preserve">VALERIE    </t>
  </si>
  <si>
    <t xml:space="preserve">VON        </t>
  </si>
  <si>
    <t xml:space="preserve">ZAAHIR     </t>
  </si>
  <si>
    <t xml:space="preserve">SNELL            </t>
  </si>
  <si>
    <t xml:space="preserve">SNITCH           </t>
  </si>
  <si>
    <t xml:space="preserve">BRAD       </t>
  </si>
  <si>
    <t xml:space="preserve">SNOW             </t>
  </si>
  <si>
    <t xml:space="preserve">SOBKOW           </t>
  </si>
  <si>
    <t xml:space="preserve">SOKOLSKI         </t>
  </si>
  <si>
    <t xml:space="preserve">SOLANO           </t>
  </si>
  <si>
    <t xml:space="preserve">SOLOMON          </t>
  </si>
  <si>
    <t xml:space="preserve">SOMERVILLE       </t>
  </si>
  <si>
    <t xml:space="preserve">SORIANO-CARELA   </t>
  </si>
  <si>
    <t xml:space="preserve">SOTO             </t>
  </si>
  <si>
    <t xml:space="preserve">SPADY            </t>
  </si>
  <si>
    <t xml:space="preserve">DARNELLA   </t>
  </si>
  <si>
    <t xml:space="preserve">SPEAKMAN         </t>
  </si>
  <si>
    <t xml:space="preserve">SPEARS           </t>
  </si>
  <si>
    <t xml:space="preserve">SPEIGHT          </t>
  </si>
  <si>
    <t xml:space="preserve">SHAMEKA    </t>
  </si>
  <si>
    <t xml:space="preserve">SPENCE           </t>
  </si>
  <si>
    <t xml:space="preserve">DETOSHIA   </t>
  </si>
  <si>
    <t xml:space="preserve">TYREQUE    </t>
  </si>
  <si>
    <t xml:space="preserve">SPENCER          </t>
  </si>
  <si>
    <t xml:space="preserve">TYREKE     </t>
  </si>
  <si>
    <t xml:space="preserve">SPICER           </t>
  </si>
  <si>
    <t xml:space="preserve">SPIVEY           </t>
  </si>
  <si>
    <t xml:space="preserve">SPRIGGS          </t>
  </si>
  <si>
    <t xml:space="preserve">MIK'TRELL  </t>
  </si>
  <si>
    <t xml:space="preserve">SPURLING         </t>
  </si>
  <si>
    <t xml:space="preserve">SQUATRITO        </t>
  </si>
  <si>
    <t xml:space="preserve">BROOKE     </t>
  </si>
  <si>
    <t xml:space="preserve">STAATS           </t>
  </si>
  <si>
    <t xml:space="preserve">STAFFORD-JORDAN  </t>
  </si>
  <si>
    <t xml:space="preserve">STAGG            </t>
  </si>
  <si>
    <t xml:space="preserve">STAHL            </t>
  </si>
  <si>
    <t xml:space="preserve">STALLINGS        </t>
  </si>
  <si>
    <t xml:space="preserve">STALNAKER        </t>
  </si>
  <si>
    <t xml:space="preserve">STANCELL         </t>
  </si>
  <si>
    <t xml:space="preserve">GLORIA     </t>
  </si>
  <si>
    <t xml:space="preserve">STANFORD         </t>
  </si>
  <si>
    <t xml:space="preserve">LATOSHIA   </t>
  </si>
  <si>
    <t xml:space="preserve">NYLERE     </t>
  </si>
  <si>
    <t xml:space="preserve">REUBEN     </t>
  </si>
  <si>
    <t xml:space="preserve">STANLEY          </t>
  </si>
  <si>
    <t xml:space="preserve">STANSBURY        </t>
  </si>
  <si>
    <t xml:space="preserve">STARKEY          </t>
  </si>
  <si>
    <t xml:space="preserve">STARKS           </t>
  </si>
  <si>
    <t xml:space="preserve">NYIER      </t>
  </si>
  <si>
    <t xml:space="preserve">STARR            </t>
  </si>
  <si>
    <t xml:space="preserve">STEADMAN         </t>
  </si>
  <si>
    <t xml:space="preserve">STEEDLEY         </t>
  </si>
  <si>
    <t xml:space="preserve">STEELE           </t>
  </si>
  <si>
    <t xml:space="preserve">STEP             </t>
  </si>
  <si>
    <t xml:space="preserve">STEPHENS         </t>
  </si>
  <si>
    <t xml:space="preserve">STEPHENSON       </t>
  </si>
  <si>
    <t xml:space="preserve">STERCULA         </t>
  </si>
  <si>
    <t xml:space="preserve">STETTER          </t>
  </si>
  <si>
    <t xml:space="preserve">STEVENS          </t>
  </si>
  <si>
    <t xml:space="preserve">STEVENSON        </t>
  </si>
  <si>
    <t xml:space="preserve">HILDRED    </t>
  </si>
  <si>
    <t xml:space="preserve">LAMMOTT    </t>
  </si>
  <si>
    <t xml:space="preserve">STEWART          </t>
  </si>
  <si>
    <t xml:space="preserve">CORDELE    </t>
  </si>
  <si>
    <t xml:space="preserve">LOGAN      </t>
  </si>
  <si>
    <t xml:space="preserve">STINSON          </t>
  </si>
  <si>
    <t xml:space="preserve">STOCKMAN         </t>
  </si>
  <si>
    <t xml:space="preserve">STOCKSDALE       </t>
  </si>
  <si>
    <t xml:space="preserve">KATHLEEN   </t>
  </si>
  <si>
    <t xml:space="preserve">STOE             </t>
  </si>
  <si>
    <t xml:space="preserve">STOKES           </t>
  </si>
  <si>
    <t xml:space="preserve">STONE            </t>
  </si>
  <si>
    <t xml:space="preserve">MIKEAL     </t>
  </si>
  <si>
    <t xml:space="preserve">STONEBREAKER     </t>
  </si>
  <si>
    <t xml:space="preserve">STONES           </t>
  </si>
  <si>
    <t xml:space="preserve">DERECK     </t>
  </si>
  <si>
    <t xml:space="preserve">STOVER           </t>
  </si>
  <si>
    <t xml:space="preserve">STOW             </t>
  </si>
  <si>
    <t xml:space="preserve">STOWE            </t>
  </si>
  <si>
    <t xml:space="preserve">STRATTON         </t>
  </si>
  <si>
    <t xml:space="preserve">STREET           </t>
  </si>
  <si>
    <t xml:space="preserve">STREEVY          </t>
  </si>
  <si>
    <t xml:space="preserve">STRENGARI        </t>
  </si>
  <si>
    <t xml:space="preserve">STRICKLAND       </t>
  </si>
  <si>
    <t xml:space="preserve">RAKIIM     </t>
  </si>
  <si>
    <t xml:space="preserve">STROLLO          </t>
  </si>
  <si>
    <t xml:space="preserve">STROMAN          </t>
  </si>
  <si>
    <t xml:space="preserve">PERNELL    </t>
  </si>
  <si>
    <t xml:space="preserve">STUART           </t>
  </si>
  <si>
    <t xml:space="preserve">STURGIS          </t>
  </si>
  <si>
    <t xml:space="preserve">JA'FAR     </t>
  </si>
  <si>
    <t xml:space="preserve">SUDLER           </t>
  </si>
  <si>
    <t xml:space="preserve">ARNOLD     </t>
  </si>
  <si>
    <t xml:space="preserve">HERMAN     </t>
  </si>
  <si>
    <t xml:space="preserve">SUITERS          </t>
  </si>
  <si>
    <t xml:space="preserve">SULLINS          </t>
  </si>
  <si>
    <t xml:space="preserve">SULLIVAN         </t>
  </si>
  <si>
    <t xml:space="preserve">SULLIVAN-WILSON  </t>
  </si>
  <si>
    <t xml:space="preserve">SUMMERS          </t>
  </si>
  <si>
    <t xml:space="preserve">SUMNER           </t>
  </si>
  <si>
    <t xml:space="preserve">SUMPTER          </t>
  </si>
  <si>
    <t xml:space="preserve">SHALIER    </t>
  </si>
  <si>
    <t xml:space="preserve">SURETTE          </t>
  </si>
  <si>
    <t xml:space="preserve">SUTCLIFFE        </t>
  </si>
  <si>
    <t xml:space="preserve">SUTFIN           </t>
  </si>
  <si>
    <t xml:space="preserve">SUTTON           </t>
  </si>
  <si>
    <t xml:space="preserve">DONTAE     </t>
  </si>
  <si>
    <t xml:space="preserve">SWAIN            </t>
  </si>
  <si>
    <t xml:space="preserve">SWAN             </t>
  </si>
  <si>
    <t xml:space="preserve">SWANSON          </t>
  </si>
  <si>
    <t xml:space="preserve">LELAND     </t>
  </si>
  <si>
    <t xml:space="preserve">SWIGGETT         </t>
  </si>
  <si>
    <t xml:space="preserve">DARAHN     </t>
  </si>
  <si>
    <t xml:space="preserve">SYKES            </t>
  </si>
  <si>
    <t xml:space="preserve">AMBROSE    </t>
  </si>
  <si>
    <t xml:space="preserve">DESI       </t>
  </si>
  <si>
    <t xml:space="preserve">SZUBIELSKI       </t>
  </si>
  <si>
    <t xml:space="preserve">SZULBORSKI       </t>
  </si>
  <si>
    <t xml:space="preserve">TAGGART          </t>
  </si>
  <si>
    <t xml:space="preserve">TYHEEM     </t>
  </si>
  <si>
    <t xml:space="preserve">TAGLIENTI        </t>
  </si>
  <si>
    <t xml:space="preserve">TAIT             </t>
  </si>
  <si>
    <t xml:space="preserve">TALLEY           </t>
  </si>
  <si>
    <t xml:space="preserve">TALTOAN          </t>
  </si>
  <si>
    <t xml:space="preserve">TANN             </t>
  </si>
  <si>
    <t xml:space="preserve">BRANDAN    </t>
  </si>
  <si>
    <t xml:space="preserve">TARVER           </t>
  </si>
  <si>
    <t xml:space="preserve">TATE             </t>
  </si>
  <si>
    <t xml:space="preserve">VONCEL     </t>
  </si>
  <si>
    <t xml:space="preserve">TATEM            </t>
  </si>
  <si>
    <t xml:space="preserve">TATMAN           </t>
  </si>
  <si>
    <t xml:space="preserve">TATOM            </t>
  </si>
  <si>
    <t xml:space="preserve">TAVERAS          </t>
  </si>
  <si>
    <t xml:space="preserve">KAVIEN     </t>
  </si>
  <si>
    <t xml:space="preserve">TAYE             </t>
  </si>
  <si>
    <t xml:space="preserve">TAYLOR           </t>
  </si>
  <si>
    <t xml:space="preserve">AAMIR      </t>
  </si>
  <si>
    <t xml:space="preserve">DAKWAN     </t>
  </si>
  <si>
    <t xml:space="preserve">DIAMONTE   </t>
  </si>
  <si>
    <t xml:space="preserve">DONSHAE    </t>
  </si>
  <si>
    <t xml:space="preserve">DONTEI     </t>
  </si>
  <si>
    <t xml:space="preserve">EMMETT     </t>
  </si>
  <si>
    <t xml:space="preserve">JAMIN      </t>
  </si>
  <si>
    <t xml:space="preserve">LADELL     </t>
  </si>
  <si>
    <t xml:space="preserve">LAWERNCE   </t>
  </si>
  <si>
    <t xml:space="preserve">LINWOOD    </t>
  </si>
  <si>
    <t xml:space="preserve">TEMOURISE  </t>
  </si>
  <si>
    <t xml:space="preserve">VANCE      </t>
  </si>
  <si>
    <t xml:space="preserve">TEAGLE           </t>
  </si>
  <si>
    <t xml:space="preserve">TEYQUAHN   </t>
  </si>
  <si>
    <t xml:space="preserve">TEAT             </t>
  </si>
  <si>
    <t xml:space="preserve">KINON      </t>
  </si>
  <si>
    <t xml:space="preserve">TEBBENS          </t>
  </si>
  <si>
    <t xml:space="preserve">TEEGARDEN        </t>
  </si>
  <si>
    <t xml:space="preserve">TEEL             </t>
  </si>
  <si>
    <t xml:space="preserve">TEEWIA           </t>
  </si>
  <si>
    <t xml:space="preserve">KARATEH    </t>
  </si>
  <si>
    <t xml:space="preserve">TEGANO           </t>
  </si>
  <si>
    <t xml:space="preserve">TEICHMANN        </t>
  </si>
  <si>
    <t xml:space="preserve">TEJADA           </t>
  </si>
  <si>
    <t>ALEJANDRINO</t>
  </si>
  <si>
    <t xml:space="preserve">TEMPLE           </t>
  </si>
  <si>
    <t xml:space="preserve">AMI        </t>
  </si>
  <si>
    <t xml:space="preserve">TEREK            </t>
  </si>
  <si>
    <t xml:space="preserve">TERRERO OVALLES  </t>
  </si>
  <si>
    <t xml:space="preserve">TERREROS         </t>
  </si>
  <si>
    <t xml:space="preserve">TERRY            </t>
  </si>
  <si>
    <t xml:space="preserve">KENNARD    </t>
  </si>
  <si>
    <t xml:space="preserve">TETI             </t>
  </si>
  <si>
    <t xml:space="preserve">TEXIDOR          </t>
  </si>
  <si>
    <t xml:space="preserve">THARP            </t>
  </si>
  <si>
    <t xml:space="preserve">THODOS           </t>
  </si>
  <si>
    <t xml:space="preserve">SHAI       </t>
  </si>
  <si>
    <t xml:space="preserve">THOMAS           </t>
  </si>
  <si>
    <t xml:space="preserve">ABU        </t>
  </si>
  <si>
    <t xml:space="preserve">DEANDRAE   </t>
  </si>
  <si>
    <t xml:space="preserve">DESEAN     </t>
  </si>
  <si>
    <t xml:space="preserve">IDRIS      </t>
  </si>
  <si>
    <t xml:space="preserve">KASHIEM    </t>
  </si>
  <si>
    <t xml:space="preserve">KEENE      </t>
  </si>
  <si>
    <t xml:space="preserve">KORI       </t>
  </si>
  <si>
    <t xml:space="preserve">OLDEN      </t>
  </si>
  <si>
    <t xml:space="preserve">SHAMAYAH   </t>
  </si>
  <si>
    <t xml:space="preserve">SHUKRI     </t>
  </si>
  <si>
    <t xml:space="preserve">TYE        </t>
  </si>
  <si>
    <t xml:space="preserve">THOMPSON         </t>
  </si>
  <si>
    <t xml:space="preserve">RAMAJ      </t>
  </si>
  <si>
    <t xml:space="preserve">THOMSON          </t>
  </si>
  <si>
    <t xml:space="preserve">THORPE           </t>
  </si>
  <si>
    <t xml:space="preserve">TIGANI           </t>
  </si>
  <si>
    <t xml:space="preserve">TILGHMAN         </t>
  </si>
  <si>
    <t xml:space="preserve">FLETCHER   </t>
  </si>
  <si>
    <t xml:space="preserve">KWAI       </t>
  </si>
  <si>
    <t xml:space="preserve">TILGHMAN-BENSON  </t>
  </si>
  <si>
    <t xml:space="preserve">TYRESE     </t>
  </si>
  <si>
    <t xml:space="preserve">TILLERY          </t>
  </si>
  <si>
    <t>ABDULWAHHAB</t>
  </si>
  <si>
    <t xml:space="preserve">TILLMAN          </t>
  </si>
  <si>
    <t xml:space="preserve">TIMMONS          </t>
  </si>
  <si>
    <t xml:space="preserve">OQUINDELL  </t>
  </si>
  <si>
    <t xml:space="preserve">SALENA     </t>
  </si>
  <si>
    <t xml:space="preserve">TINDALL          </t>
  </si>
  <si>
    <t xml:space="preserve">TINGLE           </t>
  </si>
  <si>
    <t xml:space="preserve">TISINGER         </t>
  </si>
  <si>
    <t xml:space="preserve">TKALICH          </t>
  </si>
  <si>
    <t xml:space="preserve">ARIK       </t>
  </si>
  <si>
    <t xml:space="preserve">TOLBERT          </t>
  </si>
  <si>
    <t xml:space="preserve">TOLLIS           </t>
  </si>
  <si>
    <t xml:space="preserve">VINCENZO   </t>
  </si>
  <si>
    <t xml:space="preserve">TOLLIVER         </t>
  </si>
  <si>
    <t xml:space="preserve">DEOANDRAE  </t>
  </si>
  <si>
    <t xml:space="preserve">TOLSON           </t>
  </si>
  <si>
    <t xml:space="preserve">JAHMEIRE   </t>
  </si>
  <si>
    <t xml:space="preserve">TONEY            </t>
  </si>
  <si>
    <t xml:space="preserve">TOOHEY           </t>
  </si>
  <si>
    <t xml:space="preserve">KIM        </t>
  </si>
  <si>
    <t xml:space="preserve">TOOMBS           </t>
  </si>
  <si>
    <t xml:space="preserve">TOOMEY           </t>
  </si>
  <si>
    <t xml:space="preserve">CHASE      </t>
  </si>
  <si>
    <t xml:space="preserve">TOPOLSKI         </t>
  </si>
  <si>
    <t xml:space="preserve">TORMEY           </t>
  </si>
  <si>
    <t xml:space="preserve">TORRENCE         </t>
  </si>
  <si>
    <t xml:space="preserve">TORRES           </t>
  </si>
  <si>
    <t xml:space="preserve">TORRES-PADDILLA  </t>
  </si>
  <si>
    <t xml:space="preserve">TORRES-RIVERA    </t>
  </si>
  <si>
    <t xml:space="preserve">TOSTON           </t>
  </si>
  <si>
    <t xml:space="preserve">NYHE       </t>
  </si>
  <si>
    <t xml:space="preserve">TOULSON          </t>
  </si>
  <si>
    <t xml:space="preserve">TOVAR CRUZ       </t>
  </si>
  <si>
    <t xml:space="preserve">TOWNSEND         </t>
  </si>
  <si>
    <t xml:space="preserve">DEVANTE    </t>
  </si>
  <si>
    <t xml:space="preserve">RODON      </t>
  </si>
  <si>
    <t xml:space="preserve">TOZZOLO          </t>
  </si>
  <si>
    <t xml:space="preserve">TRADER           </t>
  </si>
  <si>
    <t xml:space="preserve">TRALA            </t>
  </si>
  <si>
    <t xml:space="preserve">TRAMMELL         </t>
  </si>
  <si>
    <t xml:space="preserve">TAJ        </t>
  </si>
  <si>
    <t xml:space="preserve">TRAVIS           </t>
  </si>
  <si>
    <t xml:space="preserve">TRAWICK          </t>
  </si>
  <si>
    <t xml:space="preserve">TRIBBETT         </t>
  </si>
  <si>
    <t xml:space="preserve">TRICE            </t>
  </si>
  <si>
    <t xml:space="preserve">TROSTLE          </t>
  </si>
  <si>
    <t xml:space="preserve">TROTT            </t>
  </si>
  <si>
    <t xml:space="preserve">TRAMELL    </t>
  </si>
  <si>
    <t xml:space="preserve">TROTTER          </t>
  </si>
  <si>
    <t xml:space="preserve">TROTTMAN         </t>
  </si>
  <si>
    <t xml:space="preserve">TROUT            </t>
  </si>
  <si>
    <t xml:space="preserve">WILBERN    </t>
  </si>
  <si>
    <t xml:space="preserve">TROWBRIDGE       </t>
  </si>
  <si>
    <t xml:space="preserve">TROYER           </t>
  </si>
  <si>
    <t xml:space="preserve">TRUITT           </t>
  </si>
  <si>
    <t xml:space="preserve">TRUMBAUER        </t>
  </si>
  <si>
    <t xml:space="preserve">TRUMP            </t>
  </si>
  <si>
    <t xml:space="preserve">TUCKER           </t>
  </si>
  <si>
    <t xml:space="preserve">LYNELL     </t>
  </si>
  <si>
    <t xml:space="preserve">TULL             </t>
  </si>
  <si>
    <t xml:space="preserve">DEMONJE    </t>
  </si>
  <si>
    <t xml:space="preserve">TULLER           </t>
  </si>
  <si>
    <t xml:space="preserve">TUNNELL          </t>
  </si>
  <si>
    <t xml:space="preserve">TUOHY            </t>
  </si>
  <si>
    <t xml:space="preserve">TURAY            </t>
  </si>
  <si>
    <t xml:space="preserve">TURNAGE          </t>
  </si>
  <si>
    <t xml:space="preserve">SHAQUILE   </t>
  </si>
  <si>
    <t xml:space="preserve">TURNER           </t>
  </si>
  <si>
    <t xml:space="preserve">DAVONTAY   </t>
  </si>
  <si>
    <t xml:space="preserve">KWA-JREE   </t>
  </si>
  <si>
    <t xml:space="preserve">MAX        </t>
  </si>
  <si>
    <t xml:space="preserve">ORIN       </t>
  </si>
  <si>
    <t xml:space="preserve">TWYMAN           </t>
  </si>
  <si>
    <t xml:space="preserve">TYLER            </t>
  </si>
  <si>
    <t xml:space="preserve">RUDOLPH    </t>
  </si>
  <si>
    <t xml:space="preserve">TYMES            </t>
  </si>
  <si>
    <t xml:space="preserve">MARKEVOUS  </t>
  </si>
  <si>
    <t xml:space="preserve">TYRELL           </t>
  </si>
  <si>
    <t xml:space="preserve">UMSTEAD          </t>
  </si>
  <si>
    <t xml:space="preserve">UNDERWOOD        </t>
  </si>
  <si>
    <t xml:space="preserve">UPSHUR           </t>
  </si>
  <si>
    <t xml:space="preserve">URQUHART         </t>
  </si>
  <si>
    <t xml:space="preserve">MATEEM     </t>
  </si>
  <si>
    <t xml:space="preserve">UTLAW            </t>
  </si>
  <si>
    <t xml:space="preserve">SHERMAN    </t>
  </si>
  <si>
    <t xml:space="preserve">VALENCIA         </t>
  </si>
  <si>
    <t xml:space="preserve">VALENTIN         </t>
  </si>
  <si>
    <t xml:space="preserve">VALENTINE        </t>
  </si>
  <si>
    <t xml:space="preserve">VANASKEY         </t>
  </si>
  <si>
    <t xml:space="preserve">VANBUREN         </t>
  </si>
  <si>
    <t xml:space="preserve">VANDYKE          </t>
  </si>
  <si>
    <t xml:space="preserve">VANLIER          </t>
  </si>
  <si>
    <t xml:space="preserve">VANN             </t>
  </si>
  <si>
    <t xml:space="preserve">PHILLIPPA  </t>
  </si>
  <si>
    <t xml:space="preserve">VANSANT          </t>
  </si>
  <si>
    <t xml:space="preserve">VANVLIET         </t>
  </si>
  <si>
    <t xml:space="preserve">VARGAS-RIVERA    </t>
  </si>
  <si>
    <t xml:space="preserve">VASS             </t>
  </si>
  <si>
    <t xml:space="preserve">VAZQUEZ          </t>
  </si>
  <si>
    <t xml:space="preserve">VAZQUEZ GARCIA   </t>
  </si>
  <si>
    <t xml:space="preserve">VEAL             </t>
  </si>
  <si>
    <t xml:space="preserve">RONDELL    </t>
  </si>
  <si>
    <t xml:space="preserve">VEGA             </t>
  </si>
  <si>
    <t xml:space="preserve">VEITH            </t>
  </si>
  <si>
    <t xml:space="preserve">VELA             </t>
  </si>
  <si>
    <t xml:space="preserve">VELAZQUEZ        </t>
  </si>
  <si>
    <t xml:space="preserve">VELEZ            </t>
  </si>
  <si>
    <t xml:space="preserve">VERDON           </t>
  </si>
  <si>
    <t xml:space="preserve">BREANNA    </t>
  </si>
  <si>
    <t xml:space="preserve">VERDUCHI         </t>
  </si>
  <si>
    <t xml:space="preserve">ANNETTE    </t>
  </si>
  <si>
    <t xml:space="preserve">VERUCCI          </t>
  </si>
  <si>
    <t xml:space="preserve">VESSELS          </t>
  </si>
  <si>
    <t xml:space="preserve">JERMANE    </t>
  </si>
  <si>
    <t xml:space="preserve">VIA              </t>
  </si>
  <si>
    <t xml:space="preserve">VICKERS          </t>
  </si>
  <si>
    <t xml:space="preserve">VICKS            </t>
  </si>
  <si>
    <t xml:space="preserve">VIDAL            </t>
  </si>
  <si>
    <t xml:space="preserve">EDDIE      </t>
  </si>
  <si>
    <t xml:space="preserve">VILKAS           </t>
  </si>
  <si>
    <t xml:space="preserve">VINCENT          </t>
  </si>
  <si>
    <t xml:space="preserve">VINGIUERRA       </t>
  </si>
  <si>
    <t xml:space="preserve">ENJOLI     </t>
  </si>
  <si>
    <t xml:space="preserve">VIRDIN           </t>
  </si>
  <si>
    <t xml:space="preserve">VIRUET           </t>
  </si>
  <si>
    <t xml:space="preserve">SANTO      </t>
  </si>
  <si>
    <t xml:space="preserve">VISCOUNT         </t>
  </si>
  <si>
    <t xml:space="preserve">VITALE           </t>
  </si>
  <si>
    <t xml:space="preserve">SABATINO   </t>
  </si>
  <si>
    <t xml:space="preserve">VOSS             </t>
  </si>
  <si>
    <t xml:space="preserve">WADE             </t>
  </si>
  <si>
    <t xml:space="preserve">WADKINS          </t>
  </si>
  <si>
    <t xml:space="preserve">WAGAMAN          </t>
  </si>
  <si>
    <t xml:space="preserve">WAL-IKRAM        </t>
  </si>
  <si>
    <t xml:space="preserve">TAHLAL     </t>
  </si>
  <si>
    <t xml:space="preserve">WALDRIDGE        </t>
  </si>
  <si>
    <t xml:space="preserve">WALKER           </t>
  </si>
  <si>
    <t xml:space="preserve">DAMEIR     </t>
  </si>
  <si>
    <t xml:space="preserve">DAQUELL    </t>
  </si>
  <si>
    <t xml:space="preserve">DEMERRIS   </t>
  </si>
  <si>
    <t xml:space="preserve">MANDEL     </t>
  </si>
  <si>
    <t xml:space="preserve">RAHE       </t>
  </si>
  <si>
    <t xml:space="preserve">WALL             </t>
  </si>
  <si>
    <t xml:space="preserve">WALLACE          </t>
  </si>
  <si>
    <t xml:space="preserve">GERRIN     </t>
  </si>
  <si>
    <t xml:space="preserve">WALLEY           </t>
  </si>
  <si>
    <t xml:space="preserve">LIONEL     </t>
  </si>
  <si>
    <t xml:space="preserve">WALLS            </t>
  </si>
  <si>
    <t xml:space="preserve">SAKANA     </t>
  </si>
  <si>
    <t xml:space="preserve">WALMER           </t>
  </si>
  <si>
    <t xml:space="preserve">WALSH            </t>
  </si>
  <si>
    <t xml:space="preserve">HOWARD A   </t>
  </si>
  <si>
    <t xml:space="preserve">WALSTON          </t>
  </si>
  <si>
    <t xml:space="preserve">SHYNISE    </t>
  </si>
  <si>
    <t xml:space="preserve">WALTERS          </t>
  </si>
  <si>
    <t xml:space="preserve">WALTON           </t>
  </si>
  <si>
    <t xml:space="preserve">KREGG      </t>
  </si>
  <si>
    <t xml:space="preserve">WAPLES           </t>
  </si>
  <si>
    <t xml:space="preserve">JAVAUGHN   </t>
  </si>
  <si>
    <t xml:space="preserve">RHAMIR     </t>
  </si>
  <si>
    <t xml:space="preserve">WARD             </t>
  </si>
  <si>
    <t xml:space="preserve">WARDLAW          </t>
  </si>
  <si>
    <t xml:space="preserve">WARNER           </t>
  </si>
  <si>
    <t xml:space="preserve">AKEEN      </t>
  </si>
  <si>
    <t xml:space="preserve">DIONNE     </t>
  </si>
  <si>
    <t xml:space="preserve">WARNICK          </t>
  </si>
  <si>
    <t>T2182063</t>
  </si>
  <si>
    <t xml:space="preserve">WARREN           </t>
  </si>
  <si>
    <t xml:space="preserve">BARCLAY    </t>
  </si>
  <si>
    <t xml:space="preserve">KAJUAN     </t>
  </si>
  <si>
    <t xml:space="preserve">QUDREE     </t>
  </si>
  <si>
    <t xml:space="preserve">WARRINGTON       </t>
  </si>
  <si>
    <t xml:space="preserve">WASHINGTON       </t>
  </si>
  <si>
    <t xml:space="preserve">CHRISTAN   </t>
  </si>
  <si>
    <t xml:space="preserve">LESHAWN    </t>
  </si>
  <si>
    <t xml:space="preserve">SHYHIEM    </t>
  </si>
  <si>
    <t xml:space="preserve">TYROME     </t>
  </si>
  <si>
    <t>WASHINGTON-MATTHE</t>
  </si>
  <si>
    <t xml:space="preserve">WASLCH           </t>
  </si>
  <si>
    <t xml:space="preserve">WATERMAN         </t>
  </si>
  <si>
    <t xml:space="preserve">BRAHIN     </t>
  </si>
  <si>
    <t xml:space="preserve">WATERS           </t>
  </si>
  <si>
    <t xml:space="preserve">IMEAN      </t>
  </si>
  <si>
    <t xml:space="preserve">JAIMIR     </t>
  </si>
  <si>
    <t xml:space="preserve">REGINAL    </t>
  </si>
  <si>
    <t xml:space="preserve">WATKINS          </t>
  </si>
  <si>
    <t xml:space="preserve">DIVINE     </t>
  </si>
  <si>
    <t xml:space="preserve">KASADRA    </t>
  </si>
  <si>
    <t xml:space="preserve">MILEK      </t>
  </si>
  <si>
    <t xml:space="preserve">WATSON           </t>
  </si>
  <si>
    <t xml:space="preserve">ANNQUASIA  </t>
  </si>
  <si>
    <t xml:space="preserve">CARMELO    </t>
  </si>
  <si>
    <t xml:space="preserve">DEONTRAY   </t>
  </si>
  <si>
    <t xml:space="preserve">JAWON      </t>
  </si>
  <si>
    <t xml:space="preserve">KHALIF     </t>
  </si>
  <si>
    <t xml:space="preserve">LEVAR      </t>
  </si>
  <si>
    <t xml:space="preserve">MAYHEW     </t>
  </si>
  <si>
    <t xml:space="preserve">NAJEER     </t>
  </si>
  <si>
    <t xml:space="preserve">NAKEEM     </t>
  </si>
  <si>
    <t xml:space="preserve">NASIIR     </t>
  </si>
  <si>
    <t xml:space="preserve">STEFFRON   </t>
  </si>
  <si>
    <t xml:space="preserve">WATTERS          </t>
  </si>
  <si>
    <t xml:space="preserve">ZAVRIEL    </t>
  </si>
  <si>
    <t xml:space="preserve">WATTS            </t>
  </si>
  <si>
    <t xml:space="preserve">VERNELL    </t>
  </si>
  <si>
    <t xml:space="preserve">WAYMAN           </t>
  </si>
  <si>
    <t xml:space="preserve">LA'VHEY    </t>
  </si>
  <si>
    <t xml:space="preserve">WAYS             </t>
  </si>
  <si>
    <t xml:space="preserve">WEAVER           </t>
  </si>
  <si>
    <t xml:space="preserve">WEBB             </t>
  </si>
  <si>
    <t xml:space="preserve">MAYLON     </t>
  </si>
  <si>
    <t xml:space="preserve">PAULA      </t>
  </si>
  <si>
    <t xml:space="preserve">WEBBER           </t>
  </si>
  <si>
    <t xml:space="preserve">WEBSTER          </t>
  </si>
  <si>
    <t xml:space="preserve">CORON      </t>
  </si>
  <si>
    <t xml:space="preserve">WECHE            </t>
  </si>
  <si>
    <t xml:space="preserve">WEDDINGTON       </t>
  </si>
  <si>
    <t xml:space="preserve">WEDGE            </t>
  </si>
  <si>
    <t xml:space="preserve">WEEKS            </t>
  </si>
  <si>
    <t xml:space="preserve">WEHDE            </t>
  </si>
  <si>
    <t xml:space="preserve">WEIDOW           </t>
  </si>
  <si>
    <t xml:space="preserve">JING       </t>
  </si>
  <si>
    <t xml:space="preserve">WEIFORD          </t>
  </si>
  <si>
    <t xml:space="preserve">WEIKEL           </t>
  </si>
  <si>
    <t xml:space="preserve">WEIL             </t>
  </si>
  <si>
    <t xml:space="preserve">WEISS            </t>
  </si>
  <si>
    <t xml:space="preserve">WELCH            </t>
  </si>
  <si>
    <t xml:space="preserve">WELDIN           </t>
  </si>
  <si>
    <t xml:space="preserve">WELLS            </t>
  </si>
  <si>
    <t xml:space="preserve">WENZKE           </t>
  </si>
  <si>
    <t xml:space="preserve">WERNER           </t>
  </si>
  <si>
    <t xml:space="preserve">WESCOTT          </t>
  </si>
  <si>
    <t xml:space="preserve">WESLEY           </t>
  </si>
  <si>
    <t xml:space="preserve">DOMONQUE   </t>
  </si>
  <si>
    <t xml:space="preserve">WEST             </t>
  </si>
  <si>
    <t xml:space="preserve">TERON      </t>
  </si>
  <si>
    <t xml:space="preserve">WESTON           </t>
  </si>
  <si>
    <t xml:space="preserve">DONSHELL   </t>
  </si>
  <si>
    <t xml:space="preserve">TY         </t>
  </si>
  <si>
    <t xml:space="preserve">WESTWOOD         </t>
  </si>
  <si>
    <t xml:space="preserve">WHALELY          </t>
  </si>
  <si>
    <t xml:space="preserve">WHALEN           </t>
  </si>
  <si>
    <t xml:space="preserve">WHALEY           </t>
  </si>
  <si>
    <t xml:space="preserve">AFRIKA     </t>
  </si>
  <si>
    <t xml:space="preserve">WHARTON          </t>
  </si>
  <si>
    <t xml:space="preserve">DAI'YANN   </t>
  </si>
  <si>
    <t xml:space="preserve">WHEELER          </t>
  </si>
  <si>
    <t xml:space="preserve">ALSHAWN    </t>
  </si>
  <si>
    <t xml:space="preserve">DAEMONT    </t>
  </si>
  <si>
    <t xml:space="preserve">TIJAHSHAN  </t>
  </si>
  <si>
    <t xml:space="preserve">WHITE            </t>
  </si>
  <si>
    <t xml:space="preserve">BARBARA    </t>
  </si>
  <si>
    <t xml:space="preserve">DASHAUN    </t>
  </si>
  <si>
    <t xml:space="preserve">EUBANKS    </t>
  </si>
  <si>
    <t xml:space="preserve">KACEY      </t>
  </si>
  <si>
    <t xml:space="preserve">LEMAR      </t>
  </si>
  <si>
    <t xml:space="preserve">TOMARIS    </t>
  </si>
  <si>
    <t xml:space="preserve">WHITED           </t>
  </si>
  <si>
    <t xml:space="preserve">WHITEHURST       </t>
  </si>
  <si>
    <t xml:space="preserve">IZZY       </t>
  </si>
  <si>
    <t xml:space="preserve">WHITEMAN         </t>
  </si>
  <si>
    <t xml:space="preserve">WHITESIDE        </t>
  </si>
  <si>
    <t xml:space="preserve">WHITNEY          </t>
  </si>
  <si>
    <t xml:space="preserve">THERON     </t>
  </si>
  <si>
    <t xml:space="preserve">WHITTLE          </t>
  </si>
  <si>
    <t xml:space="preserve">DAVEAR     </t>
  </si>
  <si>
    <t xml:space="preserve">LOVANCE    </t>
  </si>
  <si>
    <t xml:space="preserve">WICE             </t>
  </si>
  <si>
    <t xml:space="preserve">WICHLINSKI       </t>
  </si>
  <si>
    <t xml:space="preserve">WICKS            </t>
  </si>
  <si>
    <t xml:space="preserve">WIGGINS          </t>
  </si>
  <si>
    <t xml:space="preserve">NAKIA      </t>
  </si>
  <si>
    <t xml:space="preserve">WILDER           </t>
  </si>
  <si>
    <t xml:space="preserve">WILDT            </t>
  </si>
  <si>
    <t xml:space="preserve">WILEY            </t>
  </si>
  <si>
    <t xml:space="preserve">WILIAMS          </t>
  </si>
  <si>
    <t xml:space="preserve">WILKERSON        </t>
  </si>
  <si>
    <t xml:space="preserve">WILKINSON        </t>
  </si>
  <si>
    <t xml:space="preserve">DAMIEN     </t>
  </si>
  <si>
    <t xml:space="preserve">WILLAMSTON       </t>
  </si>
  <si>
    <t xml:space="preserve">TAKWON     </t>
  </si>
  <si>
    <t xml:space="preserve">WILLEY           </t>
  </si>
  <si>
    <t xml:space="preserve">WILLIAMS         </t>
  </si>
  <si>
    <t xml:space="preserve">ALPHONSO   </t>
  </si>
  <si>
    <t xml:space="preserve">CHARLESTON </t>
  </si>
  <si>
    <t xml:space="preserve">DONMIRE    </t>
  </si>
  <si>
    <t xml:space="preserve">HUNTER     </t>
  </si>
  <si>
    <t xml:space="preserve">JAHMAR     </t>
  </si>
  <si>
    <t xml:space="preserve">JAREL      </t>
  </si>
  <si>
    <t xml:space="preserve">JARMAL     </t>
  </si>
  <si>
    <t xml:space="preserve">LATREZ     </t>
  </si>
  <si>
    <t xml:space="preserve">LEONDRE    </t>
  </si>
  <si>
    <t xml:space="preserve">LERON      </t>
  </si>
  <si>
    <t xml:space="preserve">MARY       </t>
  </si>
  <si>
    <t xml:space="preserve">OBBIE      </t>
  </si>
  <si>
    <t xml:space="preserve">RJ         </t>
  </si>
  <si>
    <t>SHARCOURTNE</t>
  </si>
  <si>
    <t xml:space="preserve">TAEVON     </t>
  </si>
  <si>
    <t xml:space="preserve">TEAL       </t>
  </si>
  <si>
    <t xml:space="preserve">TYKEE      </t>
  </si>
  <si>
    <t xml:space="preserve">WILLIAMSON       </t>
  </si>
  <si>
    <t xml:space="preserve">WILLIN           </t>
  </si>
  <si>
    <t xml:space="preserve">JAYSON     </t>
  </si>
  <si>
    <t xml:space="preserve">WILLINGHAM       </t>
  </si>
  <si>
    <t xml:space="preserve">DEONTAY    </t>
  </si>
  <si>
    <t xml:space="preserve">WILLIS           </t>
  </si>
  <si>
    <t xml:space="preserve">ALANDER    </t>
  </si>
  <si>
    <t xml:space="preserve">WILMER           </t>
  </si>
  <si>
    <t xml:space="preserve">MALIAK     </t>
  </si>
  <si>
    <t xml:space="preserve">WAN YA     </t>
  </si>
  <si>
    <t>WILMER-WILLIAMSON</t>
  </si>
  <si>
    <t xml:space="preserve">LAMERE     </t>
  </si>
  <si>
    <t xml:space="preserve">WILMORE          </t>
  </si>
  <si>
    <t xml:space="preserve">LAVANCE    </t>
  </si>
  <si>
    <t xml:space="preserve">WILSON           </t>
  </si>
  <si>
    <t xml:space="preserve">BARTON     </t>
  </si>
  <si>
    <t xml:space="preserve">CLIFF      </t>
  </si>
  <si>
    <t xml:space="preserve">DEPAUL     </t>
  </si>
  <si>
    <t xml:space="preserve">DORIAN     </t>
  </si>
  <si>
    <t xml:space="preserve">ELGIN      </t>
  </si>
  <si>
    <t xml:space="preserve">MAHDI      </t>
  </si>
  <si>
    <t xml:space="preserve">MONEE      </t>
  </si>
  <si>
    <t xml:space="preserve">PEIRSON    </t>
  </si>
  <si>
    <t xml:space="preserve">WINCHESTER       </t>
  </si>
  <si>
    <t xml:space="preserve">CLOYE      </t>
  </si>
  <si>
    <t xml:space="preserve">WINCKLER         </t>
  </si>
  <si>
    <t xml:space="preserve">DAYKEEVIS  </t>
  </si>
  <si>
    <t xml:space="preserve">DAYMON     </t>
  </si>
  <si>
    <t xml:space="preserve">WINDELL          </t>
  </si>
  <si>
    <t xml:space="preserve">WINDER           </t>
  </si>
  <si>
    <t xml:space="preserve">WINDLE           </t>
  </si>
  <si>
    <t xml:space="preserve">WINDSOR          </t>
  </si>
  <si>
    <t xml:space="preserve">WING             </t>
  </si>
  <si>
    <t xml:space="preserve">WINGATE          </t>
  </si>
  <si>
    <t xml:space="preserve">WINGFIELD        </t>
  </si>
  <si>
    <t xml:space="preserve">WINN             </t>
  </si>
  <si>
    <t xml:space="preserve">HILLARD    </t>
  </si>
  <si>
    <t xml:space="preserve">WINTER           </t>
  </si>
  <si>
    <t xml:space="preserve">HERMIONE K </t>
  </si>
  <si>
    <t xml:space="preserve">WINTERS          </t>
  </si>
  <si>
    <t xml:space="preserve">WINWARD          </t>
  </si>
  <si>
    <t xml:space="preserve">WISE             </t>
  </si>
  <si>
    <t xml:space="preserve">KIREE      </t>
  </si>
  <si>
    <t xml:space="preserve">WISHER           </t>
  </si>
  <si>
    <t xml:space="preserve">DAYMERE    </t>
  </si>
  <si>
    <t xml:space="preserve">WITHERSPOON      </t>
  </si>
  <si>
    <t xml:space="preserve">JERZIAH    </t>
  </si>
  <si>
    <t xml:space="preserve">WITTROCK         </t>
  </si>
  <si>
    <t xml:space="preserve">WITTY            </t>
  </si>
  <si>
    <t xml:space="preserve">WOLFORD          </t>
  </si>
  <si>
    <t xml:space="preserve">WOLSKI           </t>
  </si>
  <si>
    <t xml:space="preserve">WONNUM           </t>
  </si>
  <si>
    <t xml:space="preserve">CHAKKIRA   </t>
  </si>
  <si>
    <t xml:space="preserve">WOO              </t>
  </si>
  <si>
    <t xml:space="preserve">CHIH       </t>
  </si>
  <si>
    <t xml:space="preserve">WOOD             </t>
  </si>
  <si>
    <t xml:space="preserve">WOODALL          </t>
  </si>
  <si>
    <t xml:space="preserve">WOODARD          </t>
  </si>
  <si>
    <t xml:space="preserve">WOODLIN          </t>
  </si>
  <si>
    <t xml:space="preserve">WOODS            </t>
  </si>
  <si>
    <t xml:space="preserve">WOOTTEN          </t>
  </si>
  <si>
    <t xml:space="preserve">EDSEL      </t>
  </si>
  <si>
    <t xml:space="preserve">WORLEY           </t>
  </si>
  <si>
    <t xml:space="preserve">WORRELL          </t>
  </si>
  <si>
    <t xml:space="preserve">DESHON     </t>
  </si>
  <si>
    <t xml:space="preserve">WORTHAM          </t>
  </si>
  <si>
    <t xml:space="preserve">WORTHY           </t>
  </si>
  <si>
    <t xml:space="preserve">WOTHERS          </t>
  </si>
  <si>
    <t xml:space="preserve">WRENN            </t>
  </si>
  <si>
    <t xml:space="preserve">WRIGHT           </t>
  </si>
  <si>
    <t xml:space="preserve">BRAHIM     </t>
  </si>
  <si>
    <t xml:space="preserve">DAYWAN     </t>
  </si>
  <si>
    <t xml:space="preserve">DENEISHA   </t>
  </si>
  <si>
    <t xml:space="preserve">SHAWNTAY   </t>
  </si>
  <si>
    <t xml:space="preserve">TAMEKE     </t>
  </si>
  <si>
    <t xml:space="preserve">TEESHA     </t>
  </si>
  <si>
    <t xml:space="preserve">WAYMOND    </t>
  </si>
  <si>
    <t xml:space="preserve">WRIGHT-CLAYTON   </t>
  </si>
  <si>
    <t xml:space="preserve">WYATT            </t>
  </si>
  <si>
    <t xml:space="preserve">WYATTE           </t>
  </si>
  <si>
    <t xml:space="preserve">WYCHE            </t>
  </si>
  <si>
    <t xml:space="preserve">WYNDER           </t>
  </si>
  <si>
    <t xml:space="preserve">KENYA      </t>
  </si>
  <si>
    <t xml:space="preserve">WYNN             </t>
  </si>
  <si>
    <t xml:space="preserve">ITIUS      </t>
  </si>
  <si>
    <t xml:space="preserve">WYRE             </t>
  </si>
  <si>
    <t xml:space="preserve">YARBOROUGH       </t>
  </si>
  <si>
    <t xml:space="preserve">YATES            </t>
  </si>
  <si>
    <t xml:space="preserve">YEAGER           </t>
  </si>
  <si>
    <t xml:space="preserve">YELARDY          </t>
  </si>
  <si>
    <t xml:space="preserve">YOON             </t>
  </si>
  <si>
    <t xml:space="preserve">YORK-JAMES       </t>
  </si>
  <si>
    <t xml:space="preserve">OBEDIAH    </t>
  </si>
  <si>
    <t xml:space="preserve">YOUNG            </t>
  </si>
  <si>
    <t xml:space="preserve">ADRIANNE   </t>
  </si>
  <si>
    <t xml:space="preserve">ADRIEN     </t>
  </si>
  <si>
    <t xml:space="preserve">DARUS      </t>
  </si>
  <si>
    <t xml:space="preserve">LAVONNE    </t>
  </si>
  <si>
    <t xml:space="preserve">LENTON     </t>
  </si>
  <si>
    <t xml:space="preserve">MELYSSA    </t>
  </si>
  <si>
    <t xml:space="preserve">YOUNGBLOOD       </t>
  </si>
  <si>
    <t xml:space="preserve">YOUNGS           </t>
  </si>
  <si>
    <t xml:space="preserve">NOAH       </t>
  </si>
  <si>
    <t xml:space="preserve">YSAGUIRRE        </t>
  </si>
  <si>
    <t xml:space="preserve">FRANCISO   </t>
  </si>
  <si>
    <t xml:space="preserve">ZABALA-MESON     </t>
  </si>
  <si>
    <t xml:space="preserve">JACKSON    </t>
  </si>
  <si>
    <t xml:space="preserve">ZAKROCIEMSKI     </t>
  </si>
  <si>
    <t xml:space="preserve">ZAZANIS          </t>
  </si>
  <si>
    <t xml:space="preserve">ZEBROSKI         </t>
  </si>
  <si>
    <t xml:space="preserve">ZICARELLI        </t>
  </si>
  <si>
    <t xml:space="preserve">ZICKGRAF         </t>
  </si>
  <si>
    <t xml:space="preserve">ZIMMERMAN        </t>
  </si>
  <si>
    <t xml:space="preserve">SCARLETT   </t>
  </si>
  <si>
    <t xml:space="preserve">ZOGAR            </t>
  </si>
  <si>
    <t xml:space="preserve">BENONY     </t>
  </si>
  <si>
    <t xml:space="preserve">ZULINSKI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</si>
</sst>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15"/>
  <sheetViews>
    <sheetView tabSelected="1" workbookViewId="0"/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tr">
        <f>"00564631"</f>
        <v>00564631</v>
      </c>
      <c r="B2" t="s">
        <v>1621</v>
      </c>
      <c r="C2" t="s">
        <v>71</v>
      </c>
      <c r="D2" t="s">
        <v>25</v>
      </c>
      <c r="E2" t="s">
        <v>26</v>
      </c>
      <c r="F2" t="s">
        <v>17</v>
      </c>
      <c r="G2" t="str">
        <f>"00"</f>
        <v>00</v>
      </c>
      <c r="H2" t="str">
        <f>"0  "</f>
        <v xml:space="preserve">0  </v>
      </c>
      <c r="I2" t="str">
        <f>"2020/09/22"</f>
        <v>2020/09/22</v>
      </c>
      <c r="J2" t="str">
        <f>"023"</f>
        <v>023</v>
      </c>
      <c r="K2" t="s">
        <v>18</v>
      </c>
      <c r="L2" t="s">
        <v>18</v>
      </c>
      <c r="M2" t="s">
        <v>18</v>
      </c>
    </row>
    <row r="3" spans="1:13" x14ac:dyDescent="0.25">
      <c r="A3" t="str">
        <f>"00234633"</f>
        <v>00234633</v>
      </c>
      <c r="B3" t="s">
        <v>2299</v>
      </c>
      <c r="C3" t="s">
        <v>118</v>
      </c>
      <c r="D3" t="s">
        <v>15</v>
      </c>
      <c r="E3" t="s">
        <v>26</v>
      </c>
      <c r="F3" t="s">
        <v>17</v>
      </c>
      <c r="G3" t="str">
        <f>"00"</f>
        <v>00</v>
      </c>
      <c r="H3" t="str">
        <f>"0  "</f>
        <v xml:space="preserve">0  </v>
      </c>
      <c r="I3" t="str">
        <f>"2020/09/22"</f>
        <v>2020/09/22</v>
      </c>
      <c r="J3" t="str">
        <f>"023"</f>
        <v>023</v>
      </c>
      <c r="K3" t="s">
        <v>18</v>
      </c>
      <c r="L3" t="s">
        <v>18</v>
      </c>
      <c r="M3" t="s">
        <v>18</v>
      </c>
    </row>
    <row r="4" spans="1:13" x14ac:dyDescent="0.25">
      <c r="A4" t="str">
        <f>"00262644"</f>
        <v>00262644</v>
      </c>
      <c r="B4" t="s">
        <v>38</v>
      </c>
      <c r="C4" t="s">
        <v>39</v>
      </c>
      <c r="D4" t="s">
        <v>40</v>
      </c>
      <c r="E4" t="s">
        <v>16</v>
      </c>
      <c r="F4" t="s">
        <v>34</v>
      </c>
      <c r="G4" t="str">
        <f>"01"</f>
        <v>01</v>
      </c>
      <c r="H4" t="str">
        <f>"0  "</f>
        <v xml:space="preserve">0  </v>
      </c>
      <c r="I4" t="str">
        <f>"2020/06/24"</f>
        <v>2020/06/24</v>
      </c>
      <c r="J4" t="str">
        <f>"503"</f>
        <v>503</v>
      </c>
      <c r="K4" t="s">
        <v>18</v>
      </c>
      <c r="L4" t="s">
        <v>18</v>
      </c>
      <c r="M4" t="s">
        <v>18</v>
      </c>
    </row>
    <row r="5" spans="1:13" x14ac:dyDescent="0.25">
      <c r="A5" t="str">
        <f>"00369990"</f>
        <v>00369990</v>
      </c>
      <c r="B5" t="s">
        <v>242</v>
      </c>
      <c r="C5" t="s">
        <v>247</v>
      </c>
      <c r="D5" t="s">
        <v>51</v>
      </c>
      <c r="E5" t="s">
        <v>16</v>
      </c>
      <c r="F5" t="s">
        <v>34</v>
      </c>
      <c r="G5" t="str">
        <f>"01"</f>
        <v>01</v>
      </c>
      <c r="H5" t="str">
        <f>"3  "</f>
        <v xml:space="preserve">3  </v>
      </c>
      <c r="I5" t="str">
        <f>"2005/12/20"</f>
        <v>2005/12/20</v>
      </c>
      <c r="J5" t="str">
        <f>"110"</f>
        <v>110</v>
      </c>
      <c r="K5" t="str">
        <f>"20211219"</f>
        <v>20211219</v>
      </c>
      <c r="L5" t="s">
        <v>18</v>
      </c>
      <c r="M5" t="str">
        <f>"20051020"</f>
        <v>20051020</v>
      </c>
    </row>
    <row r="6" spans="1:13" x14ac:dyDescent="0.25">
      <c r="A6" t="str">
        <f>"00596859"</f>
        <v>00596859</v>
      </c>
      <c r="B6" t="s">
        <v>262</v>
      </c>
      <c r="C6" t="s">
        <v>263</v>
      </c>
      <c r="D6" t="s">
        <v>15</v>
      </c>
      <c r="E6" t="s">
        <v>26</v>
      </c>
      <c r="F6" t="s">
        <v>34</v>
      </c>
      <c r="G6" t="str">
        <f>"01"</f>
        <v>01</v>
      </c>
      <c r="H6" t="str">
        <f>"3  "</f>
        <v xml:space="preserve">3  </v>
      </c>
      <c r="I6" t="str">
        <f>"2009/02/13"</f>
        <v>2009/02/13</v>
      </c>
      <c r="J6" t="str">
        <f>"110"</f>
        <v>110</v>
      </c>
      <c r="K6" t="str">
        <f>"20240605"</f>
        <v>20240605</v>
      </c>
      <c r="L6" t="s">
        <v>18</v>
      </c>
      <c r="M6" t="str">
        <f>"20070723"</f>
        <v>20070723</v>
      </c>
    </row>
    <row r="7" spans="1:13" x14ac:dyDescent="0.25">
      <c r="A7" t="str">
        <f>"00763987"</f>
        <v>00763987</v>
      </c>
      <c r="B7" t="s">
        <v>262</v>
      </c>
      <c r="C7" t="s">
        <v>264</v>
      </c>
      <c r="D7" t="s">
        <v>51</v>
      </c>
      <c r="E7" t="s">
        <v>16</v>
      </c>
      <c r="F7" t="s">
        <v>34</v>
      </c>
      <c r="G7" t="str">
        <f>"01"</f>
        <v>01</v>
      </c>
      <c r="H7" t="str">
        <f>"3  "</f>
        <v xml:space="preserve">3  </v>
      </c>
      <c r="I7" t="str">
        <f>"2017/04/12"</f>
        <v>2017/04/12</v>
      </c>
      <c r="J7" t="str">
        <f>"110"</f>
        <v>110</v>
      </c>
      <c r="K7" t="str">
        <f>"20490627"</f>
        <v>20490627</v>
      </c>
      <c r="L7" t="s">
        <v>18</v>
      </c>
      <c r="M7" t="str">
        <f>"20140314"</f>
        <v>20140314</v>
      </c>
    </row>
    <row r="8" spans="1:13" x14ac:dyDescent="0.25">
      <c r="A8" t="str">
        <f>"00283025"</f>
        <v>00283025</v>
      </c>
      <c r="B8" t="s">
        <v>274</v>
      </c>
      <c r="C8" t="s">
        <v>275</v>
      </c>
      <c r="D8" t="s">
        <v>51</v>
      </c>
      <c r="E8" t="s">
        <v>26</v>
      </c>
      <c r="F8" t="s">
        <v>34</v>
      </c>
      <c r="G8" t="str">
        <f>"01"</f>
        <v>01</v>
      </c>
      <c r="H8" t="str">
        <f>"0  "</f>
        <v xml:space="preserve">0  </v>
      </c>
      <c r="I8" t="str">
        <f>"2020/01/21"</f>
        <v>2020/01/21</v>
      </c>
      <c r="J8" t="str">
        <f>"420"</f>
        <v>420</v>
      </c>
      <c r="K8" t="s">
        <v>18</v>
      </c>
      <c r="L8" t="s">
        <v>18</v>
      </c>
      <c r="M8" t="s">
        <v>18</v>
      </c>
    </row>
    <row r="9" spans="1:13" x14ac:dyDescent="0.25">
      <c r="A9" t="str">
        <f>"00605338"</f>
        <v>00605338</v>
      </c>
      <c r="B9" t="s">
        <v>305</v>
      </c>
      <c r="C9" t="s">
        <v>306</v>
      </c>
      <c r="D9" t="s">
        <v>142</v>
      </c>
      <c r="E9" t="s">
        <v>16</v>
      </c>
      <c r="F9" t="s">
        <v>34</v>
      </c>
      <c r="G9" t="str">
        <f>"01"</f>
        <v>01</v>
      </c>
      <c r="H9" t="str">
        <f>"0  "</f>
        <v xml:space="preserve">0  </v>
      </c>
      <c r="I9" t="str">
        <f>"2020/07/17"</f>
        <v>2020/07/17</v>
      </c>
      <c r="J9" t="str">
        <f>"512"</f>
        <v>512</v>
      </c>
      <c r="K9" t="s">
        <v>18</v>
      </c>
      <c r="L9" t="s">
        <v>18</v>
      </c>
      <c r="M9" t="s">
        <v>18</v>
      </c>
    </row>
    <row r="10" spans="1:13" x14ac:dyDescent="0.25">
      <c r="A10" t="str">
        <f>"00605073"</f>
        <v>00605073</v>
      </c>
      <c r="B10" t="s">
        <v>396</v>
      </c>
      <c r="C10" t="s">
        <v>400</v>
      </c>
      <c r="D10" t="s">
        <v>80</v>
      </c>
      <c r="E10" t="s">
        <v>26</v>
      </c>
      <c r="F10" t="s">
        <v>34</v>
      </c>
      <c r="G10" t="str">
        <f>"01"</f>
        <v>01</v>
      </c>
      <c r="H10" t="str">
        <f>"0  "</f>
        <v xml:space="preserve">0  </v>
      </c>
      <c r="I10" t="str">
        <f>"2020/06/30"</f>
        <v>2020/06/30</v>
      </c>
      <c r="J10" t="str">
        <f>"420"</f>
        <v>420</v>
      </c>
      <c r="K10" t="s">
        <v>18</v>
      </c>
      <c r="L10" t="s">
        <v>18</v>
      </c>
      <c r="M10" t="s">
        <v>18</v>
      </c>
    </row>
    <row r="11" spans="1:13" x14ac:dyDescent="0.25">
      <c r="A11" t="str">
        <f>"00771810"</f>
        <v>00771810</v>
      </c>
      <c r="B11" t="s">
        <v>413</v>
      </c>
      <c r="C11" t="s">
        <v>415</v>
      </c>
      <c r="D11" t="s">
        <v>37</v>
      </c>
      <c r="E11" t="s">
        <v>16</v>
      </c>
      <c r="F11" t="s">
        <v>34</v>
      </c>
      <c r="G11" t="str">
        <f>"01"</f>
        <v>01</v>
      </c>
      <c r="H11" t="str">
        <f>"0  "</f>
        <v xml:space="preserve">0  </v>
      </c>
      <c r="I11" t="str">
        <f>"2020/09/20"</f>
        <v>2020/09/20</v>
      </c>
      <c r="J11" t="str">
        <f>"503"</f>
        <v>503</v>
      </c>
      <c r="K11" t="s">
        <v>18</v>
      </c>
      <c r="L11" t="s">
        <v>18</v>
      </c>
      <c r="M11" t="s">
        <v>18</v>
      </c>
    </row>
    <row r="12" spans="1:13" x14ac:dyDescent="0.25">
      <c r="A12" t="str">
        <f>"00619955"</f>
        <v>00619955</v>
      </c>
      <c r="B12" t="s">
        <v>475</v>
      </c>
      <c r="C12" t="s">
        <v>477</v>
      </c>
      <c r="D12" t="s">
        <v>456</v>
      </c>
      <c r="E12" t="s">
        <v>16</v>
      </c>
      <c r="F12" t="s">
        <v>34</v>
      </c>
      <c r="G12" t="str">
        <f>"01"</f>
        <v>01</v>
      </c>
      <c r="H12" t="str">
        <f>"0  "</f>
        <v xml:space="preserve">0  </v>
      </c>
      <c r="I12" t="str">
        <f>"2020/06/25"</f>
        <v>2020/06/25</v>
      </c>
      <c r="J12" t="str">
        <f>"420"</f>
        <v>420</v>
      </c>
      <c r="K12" t="s">
        <v>18</v>
      </c>
      <c r="L12" t="s">
        <v>18</v>
      </c>
      <c r="M12" t="s">
        <v>18</v>
      </c>
    </row>
    <row r="13" spans="1:13" x14ac:dyDescent="0.25">
      <c r="A13" t="str">
        <f>"00219584"</f>
        <v>00219584</v>
      </c>
      <c r="B13" t="s">
        <v>478</v>
      </c>
      <c r="C13" t="s">
        <v>479</v>
      </c>
      <c r="D13" t="s">
        <v>51</v>
      </c>
      <c r="E13" t="s">
        <v>16</v>
      </c>
      <c r="F13" t="s">
        <v>34</v>
      </c>
      <c r="G13" t="str">
        <f>"01"</f>
        <v>01</v>
      </c>
      <c r="H13" t="str">
        <f>"3  "</f>
        <v xml:space="preserve">3  </v>
      </c>
      <c r="I13" t="str">
        <f>"2016/08/12"</f>
        <v>2016/08/12</v>
      </c>
      <c r="J13" t="str">
        <f>"120"</f>
        <v>120</v>
      </c>
      <c r="K13" t="str">
        <f>"20220827"</f>
        <v>20220827</v>
      </c>
      <c r="L13" t="s">
        <v>18</v>
      </c>
      <c r="M13" t="str">
        <f>"20160628"</f>
        <v>20160628</v>
      </c>
    </row>
    <row r="14" spans="1:13" x14ac:dyDescent="0.25">
      <c r="A14" t="str">
        <f>"00533673"</f>
        <v>00533673</v>
      </c>
      <c r="B14" t="s">
        <v>565</v>
      </c>
      <c r="C14" t="s">
        <v>566</v>
      </c>
      <c r="D14" t="s">
        <v>25</v>
      </c>
      <c r="E14" t="s">
        <v>26</v>
      </c>
      <c r="F14" t="s">
        <v>34</v>
      </c>
      <c r="G14" t="str">
        <f>"01"</f>
        <v>01</v>
      </c>
      <c r="H14" t="str">
        <f>"3  "</f>
        <v xml:space="preserve">3  </v>
      </c>
      <c r="I14" t="str">
        <f>"2019/12/23"</f>
        <v>2019/12/23</v>
      </c>
      <c r="J14" t="str">
        <f>"110"</f>
        <v>110</v>
      </c>
      <c r="K14" t="str">
        <f>"20400705"</f>
        <v>20400705</v>
      </c>
      <c r="L14" t="s">
        <v>18</v>
      </c>
      <c r="M14" t="str">
        <f>"20191108"</f>
        <v>20191108</v>
      </c>
    </row>
    <row r="15" spans="1:13" x14ac:dyDescent="0.25">
      <c r="A15" t="str">
        <f>"00550332"</f>
        <v>00550332</v>
      </c>
      <c r="B15" t="s">
        <v>569</v>
      </c>
      <c r="C15" t="s">
        <v>570</v>
      </c>
      <c r="D15" t="s">
        <v>215</v>
      </c>
      <c r="E15" t="s">
        <v>16</v>
      </c>
      <c r="F15" t="s">
        <v>34</v>
      </c>
      <c r="G15" t="str">
        <f>"01"</f>
        <v>01</v>
      </c>
      <c r="H15" t="str">
        <f>"3  "</f>
        <v xml:space="preserve">3  </v>
      </c>
      <c r="I15" t="str">
        <f>"2020/07/30"</f>
        <v>2020/07/30</v>
      </c>
      <c r="J15" t="str">
        <f>"120"</f>
        <v>120</v>
      </c>
      <c r="K15" t="str">
        <f>"20220101"</f>
        <v>20220101</v>
      </c>
      <c r="L15" t="str">
        <f>"20201011"</f>
        <v>20201011</v>
      </c>
      <c r="M15" t="str">
        <f>"20200310"</f>
        <v>20200310</v>
      </c>
    </row>
    <row r="16" spans="1:13" x14ac:dyDescent="0.25">
      <c r="A16" t="str">
        <f>"00278051"</f>
        <v>00278051</v>
      </c>
      <c r="B16" t="s">
        <v>589</v>
      </c>
      <c r="C16" t="s">
        <v>590</v>
      </c>
      <c r="D16" t="s">
        <v>215</v>
      </c>
      <c r="E16" t="s">
        <v>26</v>
      </c>
      <c r="F16" t="s">
        <v>34</v>
      </c>
      <c r="G16" t="str">
        <f>"01"</f>
        <v>01</v>
      </c>
      <c r="H16" t="str">
        <f>"3  "</f>
        <v xml:space="preserve">3  </v>
      </c>
      <c r="I16" t="str">
        <f>"2019/11/12"</f>
        <v>2019/11/12</v>
      </c>
      <c r="J16" t="str">
        <f>"110"</f>
        <v>110</v>
      </c>
      <c r="K16" t="str">
        <f>"20261102"</f>
        <v>20261102</v>
      </c>
      <c r="L16" t="s">
        <v>18</v>
      </c>
      <c r="M16" t="str">
        <f>"20191002"</f>
        <v>20191002</v>
      </c>
    </row>
    <row r="17" spans="1:13" x14ac:dyDescent="0.25">
      <c r="A17" t="str">
        <f>"00310738"</f>
        <v>00310738</v>
      </c>
      <c r="B17" t="s">
        <v>629</v>
      </c>
      <c r="C17" t="s">
        <v>550</v>
      </c>
      <c r="D17" t="s">
        <v>51</v>
      </c>
      <c r="E17" t="s">
        <v>16</v>
      </c>
      <c r="F17" t="s">
        <v>34</v>
      </c>
      <c r="G17" t="str">
        <f>"01"</f>
        <v>01</v>
      </c>
      <c r="H17" t="str">
        <f>"1  "</f>
        <v xml:space="preserve">1  </v>
      </c>
      <c r="I17" t="str">
        <f>"2020/09/23"</f>
        <v>2020/09/23</v>
      </c>
      <c r="J17" t="str">
        <f>"110"</f>
        <v>110</v>
      </c>
      <c r="K17" t="str">
        <f>"20210922"</f>
        <v>20210922</v>
      </c>
      <c r="L17" t="s">
        <v>18</v>
      </c>
      <c r="M17" t="str">
        <f>"20200923"</f>
        <v>20200923</v>
      </c>
    </row>
    <row r="18" spans="1:13" x14ac:dyDescent="0.25">
      <c r="A18" t="str">
        <f>"00644532"</f>
        <v>00644532</v>
      </c>
      <c r="B18" t="s">
        <v>630</v>
      </c>
      <c r="C18" t="s">
        <v>631</v>
      </c>
      <c r="D18" t="s">
        <v>80</v>
      </c>
      <c r="E18" t="s">
        <v>26</v>
      </c>
      <c r="F18" t="s">
        <v>34</v>
      </c>
      <c r="G18" t="str">
        <f>"01"</f>
        <v>01</v>
      </c>
      <c r="H18" t="str">
        <f>"1  "</f>
        <v xml:space="preserve">1  </v>
      </c>
      <c r="I18" t="str">
        <f>"2020/04/24"</f>
        <v>2020/04/24</v>
      </c>
      <c r="J18" t="str">
        <f>"120"</f>
        <v>120</v>
      </c>
      <c r="K18" t="str">
        <f>"20201107"</f>
        <v>20201107</v>
      </c>
      <c r="L18" t="s">
        <v>18</v>
      </c>
      <c r="M18" t="str">
        <f>"20200325"</f>
        <v>20200325</v>
      </c>
    </row>
    <row r="19" spans="1:13" x14ac:dyDescent="0.25">
      <c r="A19" t="str">
        <f>"00772209"</f>
        <v>00772209</v>
      </c>
      <c r="B19" t="s">
        <v>634</v>
      </c>
      <c r="C19" t="s">
        <v>636</v>
      </c>
      <c r="D19" t="s">
        <v>25</v>
      </c>
      <c r="E19" t="s">
        <v>26</v>
      </c>
      <c r="F19" t="s">
        <v>34</v>
      </c>
      <c r="G19" t="str">
        <f>"01"</f>
        <v>01</v>
      </c>
      <c r="H19" t="str">
        <f>"0  "</f>
        <v xml:space="preserve">0  </v>
      </c>
      <c r="I19" t="str">
        <f>"2020/09/18"</f>
        <v>2020/09/18</v>
      </c>
      <c r="J19" t="str">
        <f>"420"</f>
        <v>420</v>
      </c>
      <c r="K19" t="s">
        <v>18</v>
      </c>
      <c r="L19" t="s">
        <v>18</v>
      </c>
      <c r="M19" t="s">
        <v>18</v>
      </c>
    </row>
    <row r="20" spans="1:13" x14ac:dyDescent="0.25">
      <c r="A20" t="str">
        <f>"00348379"</f>
        <v>00348379</v>
      </c>
      <c r="B20" t="s">
        <v>691</v>
      </c>
      <c r="C20" t="s">
        <v>692</v>
      </c>
      <c r="D20" t="s">
        <v>21</v>
      </c>
      <c r="E20" t="s">
        <v>26</v>
      </c>
      <c r="F20" t="s">
        <v>34</v>
      </c>
      <c r="G20" t="str">
        <f>"01"</f>
        <v>01</v>
      </c>
      <c r="H20" t="str">
        <f>"0  "</f>
        <v xml:space="preserve">0  </v>
      </c>
      <c r="I20" t="str">
        <f>"2020/09/11"</f>
        <v>2020/09/11</v>
      </c>
      <c r="J20" t="str">
        <f>"503"</f>
        <v>503</v>
      </c>
      <c r="K20" t="s">
        <v>18</v>
      </c>
      <c r="L20" t="s">
        <v>18</v>
      </c>
      <c r="M20" t="s">
        <v>18</v>
      </c>
    </row>
    <row r="21" spans="1:13" x14ac:dyDescent="0.25">
      <c r="A21" t="str">
        <f>"00414533"</f>
        <v>00414533</v>
      </c>
      <c r="B21" t="s">
        <v>706</v>
      </c>
      <c r="C21" t="s">
        <v>707</v>
      </c>
      <c r="D21" t="s">
        <v>51</v>
      </c>
      <c r="E21" t="s">
        <v>16</v>
      </c>
      <c r="F21" t="s">
        <v>34</v>
      </c>
      <c r="G21" t="str">
        <f>"01"</f>
        <v>01</v>
      </c>
      <c r="H21" t="str">
        <f>"0  "</f>
        <v xml:space="preserve">0  </v>
      </c>
      <c r="I21" t="str">
        <f>"2020/08/15"</f>
        <v>2020/08/15</v>
      </c>
      <c r="J21" t="str">
        <f>"420"</f>
        <v>420</v>
      </c>
      <c r="K21" t="s">
        <v>18</v>
      </c>
      <c r="L21" t="s">
        <v>18</v>
      </c>
      <c r="M21" t="s">
        <v>18</v>
      </c>
    </row>
    <row r="22" spans="1:13" x14ac:dyDescent="0.25">
      <c r="A22" t="str">
        <f>"00706915"</f>
        <v>00706915</v>
      </c>
      <c r="B22" t="s">
        <v>720</v>
      </c>
      <c r="C22" t="s">
        <v>722</v>
      </c>
      <c r="D22" t="s">
        <v>25</v>
      </c>
      <c r="E22" t="s">
        <v>26</v>
      </c>
      <c r="F22" t="s">
        <v>34</v>
      </c>
      <c r="G22" t="str">
        <f>"01"</f>
        <v>01</v>
      </c>
      <c r="H22" t="str">
        <f>"3  "</f>
        <v xml:space="preserve">3  </v>
      </c>
      <c r="I22" t="str">
        <f>"2019/05/21"</f>
        <v>2019/05/21</v>
      </c>
      <c r="J22" t="str">
        <f>"110"</f>
        <v>110</v>
      </c>
      <c r="K22" t="str">
        <f>"20201027"</f>
        <v>20201027</v>
      </c>
      <c r="L22" t="s">
        <v>18</v>
      </c>
      <c r="M22" t="str">
        <f>"20190215"</f>
        <v>20190215</v>
      </c>
    </row>
    <row r="23" spans="1:13" x14ac:dyDescent="0.25">
      <c r="A23" t="str">
        <f>"00434565"</f>
        <v>00434565</v>
      </c>
      <c r="B23" t="s">
        <v>771</v>
      </c>
      <c r="C23" t="s">
        <v>566</v>
      </c>
      <c r="D23" t="s">
        <v>51</v>
      </c>
      <c r="E23" t="s">
        <v>26</v>
      </c>
      <c r="F23" t="s">
        <v>34</v>
      </c>
      <c r="G23" t="str">
        <f>"01"</f>
        <v>01</v>
      </c>
      <c r="H23" t="str">
        <f>"3  "</f>
        <v xml:space="preserve">3  </v>
      </c>
      <c r="I23" t="str">
        <f>"2007/09/28"</f>
        <v>2007/09/28</v>
      </c>
      <c r="J23" t="str">
        <f>"110"</f>
        <v>110</v>
      </c>
      <c r="K23" t="str">
        <f>"20221004"</f>
        <v>20221004</v>
      </c>
      <c r="L23" t="s">
        <v>18</v>
      </c>
      <c r="M23" t="str">
        <f>"20060702"</f>
        <v>20060702</v>
      </c>
    </row>
    <row r="24" spans="1:13" x14ac:dyDescent="0.25">
      <c r="A24" t="str">
        <f>"00367807"</f>
        <v>00367807</v>
      </c>
      <c r="B24" t="s">
        <v>812</v>
      </c>
      <c r="C24" t="s">
        <v>813</v>
      </c>
      <c r="D24" t="s">
        <v>25</v>
      </c>
      <c r="E24" t="s">
        <v>16</v>
      </c>
      <c r="F24" t="s">
        <v>34</v>
      </c>
      <c r="G24" t="str">
        <f>"01"</f>
        <v>01</v>
      </c>
      <c r="H24" t="str">
        <f>"0  "</f>
        <v xml:space="preserve">0  </v>
      </c>
      <c r="I24" t="str">
        <f>"2020/09/17"</f>
        <v>2020/09/17</v>
      </c>
      <c r="J24" t="str">
        <f>"420"</f>
        <v>420</v>
      </c>
      <c r="K24" t="s">
        <v>18</v>
      </c>
      <c r="L24" t="s">
        <v>18</v>
      </c>
      <c r="M24" t="s">
        <v>18</v>
      </c>
    </row>
    <row r="25" spans="1:13" x14ac:dyDescent="0.25">
      <c r="A25" t="str">
        <f>"00770514"</f>
        <v>00770514</v>
      </c>
      <c r="B25" t="s">
        <v>867</v>
      </c>
      <c r="C25" t="s">
        <v>868</v>
      </c>
      <c r="D25" t="s">
        <v>25</v>
      </c>
      <c r="E25" t="s">
        <v>16</v>
      </c>
      <c r="F25" t="s">
        <v>34</v>
      </c>
      <c r="G25" t="str">
        <f>"01"</f>
        <v>01</v>
      </c>
      <c r="H25" t="str">
        <f>"0  "</f>
        <v xml:space="preserve">0  </v>
      </c>
      <c r="I25" t="str">
        <f>"2020/09/12"</f>
        <v>2020/09/12</v>
      </c>
      <c r="J25" t="str">
        <f>"420"</f>
        <v>420</v>
      </c>
      <c r="K25" t="s">
        <v>18</v>
      </c>
      <c r="L25" t="s">
        <v>18</v>
      </c>
      <c r="M25" t="s">
        <v>18</v>
      </c>
    </row>
    <row r="26" spans="1:13" x14ac:dyDescent="0.25">
      <c r="A26" t="str">
        <f>"00489675"</f>
        <v>00489675</v>
      </c>
      <c r="B26" t="s">
        <v>890</v>
      </c>
      <c r="C26" t="s">
        <v>891</v>
      </c>
      <c r="D26" t="s">
        <v>51</v>
      </c>
      <c r="E26" t="s">
        <v>16</v>
      </c>
      <c r="F26" t="s">
        <v>34</v>
      </c>
      <c r="G26" t="str">
        <f>"01"</f>
        <v>01</v>
      </c>
      <c r="H26" t="str">
        <f>"3  "</f>
        <v xml:space="preserve">3  </v>
      </c>
      <c r="I26" t="str">
        <f>"2004/06/07"</f>
        <v>2004/06/07</v>
      </c>
      <c r="J26" t="str">
        <f>"110"</f>
        <v>110</v>
      </c>
      <c r="K26" t="str">
        <f>"20220707"</f>
        <v>20220707</v>
      </c>
      <c r="L26" t="s">
        <v>18</v>
      </c>
      <c r="M26" t="str">
        <f>"20020708"</f>
        <v>20020708</v>
      </c>
    </row>
    <row r="27" spans="1:13" x14ac:dyDescent="0.25">
      <c r="A27" t="str">
        <f>"00481957"</f>
        <v>00481957</v>
      </c>
      <c r="B27" t="s">
        <v>935</v>
      </c>
      <c r="C27" t="s">
        <v>937</v>
      </c>
      <c r="D27" t="s">
        <v>15</v>
      </c>
      <c r="E27" t="s">
        <v>16</v>
      </c>
      <c r="F27" t="s">
        <v>34</v>
      </c>
      <c r="G27" t="str">
        <f>"01"</f>
        <v>01</v>
      </c>
      <c r="H27" t="str">
        <f>"0  "</f>
        <v xml:space="preserve">0  </v>
      </c>
      <c r="I27" t="str">
        <f>"2020/08/18"</f>
        <v>2020/08/18</v>
      </c>
      <c r="J27" t="str">
        <f>"420"</f>
        <v>420</v>
      </c>
      <c r="K27" t="s">
        <v>18</v>
      </c>
      <c r="L27" t="s">
        <v>18</v>
      </c>
      <c r="M27" t="s">
        <v>18</v>
      </c>
    </row>
    <row r="28" spans="1:13" x14ac:dyDescent="0.25">
      <c r="A28" t="str">
        <f>"00677585"</f>
        <v>00677585</v>
      </c>
      <c r="B28" t="s">
        <v>935</v>
      </c>
      <c r="C28" t="s">
        <v>941</v>
      </c>
      <c r="D28" t="s">
        <v>25</v>
      </c>
      <c r="E28" t="s">
        <v>26</v>
      </c>
      <c r="F28" t="s">
        <v>34</v>
      </c>
      <c r="G28" t="str">
        <f>"01"</f>
        <v>01</v>
      </c>
      <c r="H28" t="str">
        <f>"0  "</f>
        <v xml:space="preserve">0  </v>
      </c>
      <c r="I28" t="str">
        <f>"2020/04/24"</f>
        <v>2020/04/24</v>
      </c>
      <c r="J28" t="str">
        <f>"420"</f>
        <v>420</v>
      </c>
      <c r="K28" t="s">
        <v>18</v>
      </c>
      <c r="L28" t="s">
        <v>18</v>
      </c>
      <c r="M28" t="s">
        <v>18</v>
      </c>
    </row>
    <row r="29" spans="1:13" x14ac:dyDescent="0.25">
      <c r="A29" t="str">
        <f>"00930590"</f>
        <v>00930590</v>
      </c>
      <c r="B29" t="s">
        <v>1013</v>
      </c>
      <c r="C29" t="s">
        <v>1014</v>
      </c>
      <c r="D29" t="s">
        <v>25</v>
      </c>
      <c r="E29" t="s">
        <v>16</v>
      </c>
      <c r="F29" t="s">
        <v>34</v>
      </c>
      <c r="G29" t="str">
        <f>"01"</f>
        <v>01</v>
      </c>
      <c r="H29" t="str">
        <f>"0  "</f>
        <v xml:space="preserve">0  </v>
      </c>
      <c r="I29" t="str">
        <f>"2020/05/27"</f>
        <v>2020/05/27</v>
      </c>
      <c r="J29" t="str">
        <f>"503"</f>
        <v>503</v>
      </c>
      <c r="K29" t="s">
        <v>18</v>
      </c>
      <c r="L29" t="s">
        <v>18</v>
      </c>
      <c r="M29" t="s">
        <v>18</v>
      </c>
    </row>
    <row r="30" spans="1:13" x14ac:dyDescent="0.25">
      <c r="A30" t="str">
        <f>"00869008"</f>
        <v>00869008</v>
      </c>
      <c r="B30" t="s">
        <v>1017</v>
      </c>
      <c r="C30" t="s">
        <v>132</v>
      </c>
      <c r="D30" t="s">
        <v>31</v>
      </c>
      <c r="E30" t="s">
        <v>16</v>
      </c>
      <c r="F30" t="s">
        <v>34</v>
      </c>
      <c r="G30" t="str">
        <f>"01"</f>
        <v>01</v>
      </c>
      <c r="H30" t="str">
        <f>"0  "</f>
        <v xml:space="preserve">0  </v>
      </c>
      <c r="I30" t="str">
        <f>"2020/09/13"</f>
        <v>2020/09/13</v>
      </c>
      <c r="J30" t="str">
        <f>"503"</f>
        <v>503</v>
      </c>
      <c r="K30" t="s">
        <v>18</v>
      </c>
      <c r="L30" t="s">
        <v>18</v>
      </c>
      <c r="M30" t="s">
        <v>18</v>
      </c>
    </row>
    <row r="31" spans="1:13" x14ac:dyDescent="0.25">
      <c r="A31" t="str">
        <f>"00315510"</f>
        <v>00315510</v>
      </c>
      <c r="B31" t="s">
        <v>1018</v>
      </c>
      <c r="C31" t="s">
        <v>1019</v>
      </c>
      <c r="D31" t="s">
        <v>61</v>
      </c>
      <c r="E31" t="s">
        <v>16</v>
      </c>
      <c r="F31" t="s">
        <v>34</v>
      </c>
      <c r="G31" t="str">
        <f>"01"</f>
        <v>01</v>
      </c>
      <c r="H31" t="str">
        <f>"3  "</f>
        <v xml:space="preserve">3  </v>
      </c>
      <c r="I31" t="str">
        <f>"2012/10/24"</f>
        <v>2012/10/24</v>
      </c>
      <c r="J31" t="str">
        <f>"110"</f>
        <v>110</v>
      </c>
      <c r="K31" t="str">
        <f>"20230509"</f>
        <v>20230509</v>
      </c>
      <c r="L31" t="s">
        <v>18</v>
      </c>
      <c r="M31" t="str">
        <f>"20110520"</f>
        <v>20110520</v>
      </c>
    </row>
    <row r="32" spans="1:13" x14ac:dyDescent="0.25">
      <c r="A32" t="str">
        <f>"00676672"</f>
        <v>00676672</v>
      </c>
      <c r="B32" t="s">
        <v>1047</v>
      </c>
      <c r="C32" t="s">
        <v>1048</v>
      </c>
      <c r="D32" t="s">
        <v>31</v>
      </c>
      <c r="E32" t="s">
        <v>26</v>
      </c>
      <c r="F32" t="s">
        <v>34</v>
      </c>
      <c r="G32" t="str">
        <f>"01"</f>
        <v>01</v>
      </c>
      <c r="H32" t="str">
        <f>"3  "</f>
        <v xml:space="preserve">3  </v>
      </c>
      <c r="I32" t="str">
        <f>"2019/05/13"</f>
        <v>2019/05/13</v>
      </c>
      <c r="J32" t="str">
        <f>"110"</f>
        <v>110</v>
      </c>
      <c r="K32" t="str">
        <f>"20211025"</f>
        <v>20211025</v>
      </c>
      <c r="L32" t="s">
        <v>18</v>
      </c>
      <c r="M32" t="str">
        <f>"20180425"</f>
        <v>20180425</v>
      </c>
    </row>
    <row r="33" spans="1:13" x14ac:dyDescent="0.25">
      <c r="A33" t="str">
        <f>"00692852"</f>
        <v>00692852</v>
      </c>
      <c r="B33" t="s">
        <v>1053</v>
      </c>
      <c r="C33" t="s">
        <v>1054</v>
      </c>
      <c r="D33" t="s">
        <v>215</v>
      </c>
      <c r="E33" t="s">
        <v>26</v>
      </c>
      <c r="F33" t="s">
        <v>34</v>
      </c>
      <c r="G33" t="str">
        <f>"01"</f>
        <v>01</v>
      </c>
      <c r="H33" t="str">
        <f>"3  "</f>
        <v xml:space="preserve">3  </v>
      </c>
      <c r="I33" t="str">
        <f>"2019/10/29"</f>
        <v>2019/10/29</v>
      </c>
      <c r="J33" t="str">
        <f>"120"</f>
        <v>120</v>
      </c>
      <c r="K33" t="str">
        <f>"20211123"</f>
        <v>20211123</v>
      </c>
      <c r="L33" t="s">
        <v>18</v>
      </c>
      <c r="M33" t="str">
        <f>"20190911"</f>
        <v>20190911</v>
      </c>
    </row>
    <row r="34" spans="1:13" x14ac:dyDescent="0.25">
      <c r="A34" t="str">
        <f>"00497653"</f>
        <v>00497653</v>
      </c>
      <c r="B34" t="s">
        <v>1092</v>
      </c>
      <c r="C34" t="s">
        <v>1093</v>
      </c>
      <c r="D34" t="s">
        <v>25</v>
      </c>
      <c r="E34" t="s">
        <v>26</v>
      </c>
      <c r="F34" t="s">
        <v>34</v>
      </c>
      <c r="G34" t="str">
        <f>"01"</f>
        <v>01</v>
      </c>
      <c r="H34" t="str">
        <f>"3  "</f>
        <v xml:space="preserve">3  </v>
      </c>
      <c r="I34" t="str">
        <f>"2020/08/13"</f>
        <v>2020/08/13</v>
      </c>
      <c r="J34" t="str">
        <f>"120"</f>
        <v>120</v>
      </c>
      <c r="K34" t="str">
        <f>"20211009"</f>
        <v>20211009</v>
      </c>
      <c r="L34" t="s">
        <v>18</v>
      </c>
      <c r="M34" t="str">
        <f>"20200526"</f>
        <v>20200526</v>
      </c>
    </row>
    <row r="35" spans="1:13" x14ac:dyDescent="0.25">
      <c r="A35" t="str">
        <f>"00678151"</f>
        <v>00678151</v>
      </c>
      <c r="B35" t="s">
        <v>1096</v>
      </c>
      <c r="C35" t="s">
        <v>1099</v>
      </c>
      <c r="D35" t="s">
        <v>142</v>
      </c>
      <c r="E35" t="s">
        <v>16</v>
      </c>
      <c r="F35" t="s">
        <v>34</v>
      </c>
      <c r="G35" t="str">
        <f>"01"</f>
        <v>01</v>
      </c>
      <c r="H35" t="str">
        <f>"3  "</f>
        <v xml:space="preserve">3  </v>
      </c>
      <c r="I35" t="str">
        <f>"2019/09/20"</f>
        <v>2019/09/20</v>
      </c>
      <c r="J35" t="str">
        <f>"120"</f>
        <v>120</v>
      </c>
      <c r="K35" t="str">
        <f>"20220410"</f>
        <v>20220410</v>
      </c>
      <c r="L35" t="s">
        <v>18</v>
      </c>
      <c r="M35" t="str">
        <f>"20190819"</f>
        <v>20190819</v>
      </c>
    </row>
    <row r="36" spans="1:13" x14ac:dyDescent="0.25">
      <c r="A36" t="str">
        <f>"00463674"</f>
        <v>00463674</v>
      </c>
      <c r="B36" t="s">
        <v>1110</v>
      </c>
      <c r="C36" t="s">
        <v>188</v>
      </c>
      <c r="D36" t="s">
        <v>31</v>
      </c>
      <c r="E36" t="s">
        <v>26</v>
      </c>
      <c r="F36" t="s">
        <v>34</v>
      </c>
      <c r="G36" t="str">
        <f>"01"</f>
        <v>01</v>
      </c>
      <c r="H36" t="str">
        <f>"3  "</f>
        <v xml:space="preserve">3  </v>
      </c>
      <c r="I36" t="str">
        <f>"2020/02/17"</f>
        <v>2020/02/17</v>
      </c>
      <c r="J36" t="str">
        <f>"110"</f>
        <v>110</v>
      </c>
      <c r="K36" t="str">
        <f>"20211031"</f>
        <v>20211031</v>
      </c>
      <c r="L36" t="s">
        <v>18</v>
      </c>
      <c r="M36" t="str">
        <f>"20181115"</f>
        <v>20181115</v>
      </c>
    </row>
    <row r="37" spans="1:13" x14ac:dyDescent="0.25">
      <c r="A37" t="str">
        <f>"00488538"</f>
        <v>00488538</v>
      </c>
      <c r="B37" t="s">
        <v>1110</v>
      </c>
      <c r="C37" t="s">
        <v>1111</v>
      </c>
      <c r="D37" t="s">
        <v>15</v>
      </c>
      <c r="E37" t="s">
        <v>16</v>
      </c>
      <c r="F37" t="s">
        <v>34</v>
      </c>
      <c r="G37" t="str">
        <f>"01"</f>
        <v>01</v>
      </c>
      <c r="H37" t="str">
        <f>"3  "</f>
        <v xml:space="preserve">3  </v>
      </c>
      <c r="I37" t="str">
        <f>"2020/02/15"</f>
        <v>2020/02/15</v>
      </c>
      <c r="J37" t="str">
        <f>"110"</f>
        <v>110</v>
      </c>
      <c r="K37" t="str">
        <f>"20210823"</f>
        <v>20210823</v>
      </c>
      <c r="L37" t="s">
        <v>18</v>
      </c>
      <c r="M37" t="str">
        <f>"20191121"</f>
        <v>20191121</v>
      </c>
    </row>
    <row r="38" spans="1:13" x14ac:dyDescent="0.25">
      <c r="A38" t="str">
        <f>"00619057"</f>
        <v>00619057</v>
      </c>
      <c r="B38" t="s">
        <v>1129</v>
      </c>
      <c r="C38" t="s">
        <v>1130</v>
      </c>
      <c r="D38" t="s">
        <v>25</v>
      </c>
      <c r="E38" t="s">
        <v>26</v>
      </c>
      <c r="F38" t="s">
        <v>34</v>
      </c>
      <c r="G38" t="str">
        <f>"01"</f>
        <v>01</v>
      </c>
      <c r="H38" t="str">
        <f>"1  "</f>
        <v xml:space="preserve">1  </v>
      </c>
      <c r="I38" t="str">
        <f>"2020/08/19"</f>
        <v>2020/08/19</v>
      </c>
      <c r="J38" t="str">
        <f>"110"</f>
        <v>110</v>
      </c>
      <c r="K38" t="str">
        <f>"20200930"</f>
        <v>20200930</v>
      </c>
      <c r="L38" t="s">
        <v>18</v>
      </c>
      <c r="M38" t="str">
        <f>"20200819"</f>
        <v>20200819</v>
      </c>
    </row>
    <row r="39" spans="1:13" x14ac:dyDescent="0.25">
      <c r="A39" t="str">
        <f>"00547833"</f>
        <v>00547833</v>
      </c>
      <c r="B39" t="s">
        <v>1137</v>
      </c>
      <c r="C39" t="s">
        <v>1139</v>
      </c>
      <c r="D39" t="s">
        <v>40</v>
      </c>
      <c r="E39" t="s">
        <v>26</v>
      </c>
      <c r="F39" t="s">
        <v>34</v>
      </c>
      <c r="G39" t="str">
        <f>"01"</f>
        <v>01</v>
      </c>
      <c r="H39" t="str">
        <f>"0  "</f>
        <v xml:space="preserve">0  </v>
      </c>
      <c r="I39" t="str">
        <f>"2020/08/15"</f>
        <v>2020/08/15</v>
      </c>
      <c r="J39" t="str">
        <f>"420"</f>
        <v>420</v>
      </c>
      <c r="K39" t="s">
        <v>18</v>
      </c>
      <c r="L39" t="s">
        <v>18</v>
      </c>
      <c r="M39" t="s">
        <v>18</v>
      </c>
    </row>
    <row r="40" spans="1:13" x14ac:dyDescent="0.25">
      <c r="A40" t="str">
        <f>"00615928"</f>
        <v>00615928</v>
      </c>
      <c r="B40" t="s">
        <v>1151</v>
      </c>
      <c r="C40" t="s">
        <v>1152</v>
      </c>
      <c r="D40" t="s">
        <v>77</v>
      </c>
      <c r="E40" t="s">
        <v>26</v>
      </c>
      <c r="F40" t="s">
        <v>34</v>
      </c>
      <c r="G40" t="str">
        <f>"01"</f>
        <v>01</v>
      </c>
      <c r="H40" t="str">
        <f>"0  "</f>
        <v xml:space="preserve">0  </v>
      </c>
      <c r="I40" t="str">
        <f>"2020/08/23"</f>
        <v>2020/08/23</v>
      </c>
      <c r="J40" t="str">
        <f>"503"</f>
        <v>503</v>
      </c>
      <c r="K40" t="s">
        <v>18</v>
      </c>
      <c r="L40" t="s">
        <v>18</v>
      </c>
      <c r="M40" t="s">
        <v>18</v>
      </c>
    </row>
    <row r="41" spans="1:13" x14ac:dyDescent="0.25">
      <c r="A41" t="str">
        <f>"00559217"</f>
        <v>00559217</v>
      </c>
      <c r="B41" t="s">
        <v>1234</v>
      </c>
      <c r="C41" t="s">
        <v>1235</v>
      </c>
      <c r="D41" t="s">
        <v>40</v>
      </c>
      <c r="E41" t="s">
        <v>16</v>
      </c>
      <c r="F41" t="s">
        <v>34</v>
      </c>
      <c r="G41" t="str">
        <f>"01"</f>
        <v>01</v>
      </c>
      <c r="H41" t="str">
        <f>"0  "</f>
        <v xml:space="preserve">0  </v>
      </c>
      <c r="I41" t="str">
        <f>"2020/03/20"</f>
        <v>2020/03/20</v>
      </c>
      <c r="J41" t="str">
        <f>"503"</f>
        <v>503</v>
      </c>
      <c r="K41" t="s">
        <v>18</v>
      </c>
      <c r="L41" t="s">
        <v>18</v>
      </c>
      <c r="M41" t="s">
        <v>18</v>
      </c>
    </row>
    <row r="42" spans="1:13" x14ac:dyDescent="0.25">
      <c r="A42" t="str">
        <f>"00471860"</f>
        <v>00471860</v>
      </c>
      <c r="B42" t="s">
        <v>1246</v>
      </c>
      <c r="C42" t="s">
        <v>1247</v>
      </c>
      <c r="D42" t="s">
        <v>40</v>
      </c>
      <c r="E42" t="s">
        <v>16</v>
      </c>
      <c r="F42" t="s">
        <v>34</v>
      </c>
      <c r="G42" t="str">
        <f>"01"</f>
        <v>01</v>
      </c>
      <c r="H42" t="str">
        <f>"0  "</f>
        <v xml:space="preserve">0  </v>
      </c>
      <c r="I42" t="str">
        <f>"2020/09/07"</f>
        <v>2020/09/07</v>
      </c>
      <c r="J42" t="str">
        <f>"503"</f>
        <v>503</v>
      </c>
      <c r="K42" t="s">
        <v>18</v>
      </c>
      <c r="L42" t="s">
        <v>18</v>
      </c>
      <c r="M42" t="s">
        <v>18</v>
      </c>
    </row>
    <row r="43" spans="1:13" x14ac:dyDescent="0.25">
      <c r="A43" t="str">
        <f>"00166105"</f>
        <v>00166105</v>
      </c>
      <c r="B43" t="s">
        <v>1268</v>
      </c>
      <c r="C43" t="s">
        <v>1271</v>
      </c>
      <c r="D43" t="s">
        <v>25</v>
      </c>
      <c r="E43" t="s">
        <v>26</v>
      </c>
      <c r="F43" t="s">
        <v>34</v>
      </c>
      <c r="G43" t="str">
        <f>"01"</f>
        <v>01</v>
      </c>
      <c r="H43" t="str">
        <f>"7  "</f>
        <v xml:space="preserve">7  </v>
      </c>
      <c r="I43" t="str">
        <f>"2008/10/02"</f>
        <v>2008/10/02</v>
      </c>
      <c r="J43" t="str">
        <f>"531"</f>
        <v>531</v>
      </c>
      <c r="K43" t="s">
        <v>18</v>
      </c>
      <c r="L43" t="s">
        <v>18</v>
      </c>
      <c r="M43" t="str">
        <f>"20051105"</f>
        <v>20051105</v>
      </c>
    </row>
    <row r="44" spans="1:13" x14ac:dyDescent="0.25">
      <c r="A44" t="str">
        <f>"00399283"</f>
        <v>00399283</v>
      </c>
      <c r="B44" t="s">
        <v>1315</v>
      </c>
      <c r="C44" t="s">
        <v>1316</v>
      </c>
      <c r="D44" t="s">
        <v>51</v>
      </c>
      <c r="E44" t="s">
        <v>16</v>
      </c>
      <c r="F44" t="s">
        <v>34</v>
      </c>
      <c r="G44" t="str">
        <f>"01"</f>
        <v>01</v>
      </c>
      <c r="H44" t="str">
        <f>"1  "</f>
        <v xml:space="preserve">1  </v>
      </c>
      <c r="I44" t="str">
        <f>"2020/06/23"</f>
        <v>2020/06/23</v>
      </c>
      <c r="J44" t="str">
        <f>"120"</f>
        <v>120</v>
      </c>
      <c r="K44" t="str">
        <f>"20201007"</f>
        <v>20201007</v>
      </c>
      <c r="L44" t="s">
        <v>18</v>
      </c>
      <c r="M44" t="str">
        <f>"20200616"</f>
        <v>20200616</v>
      </c>
    </row>
    <row r="45" spans="1:13" x14ac:dyDescent="0.25">
      <c r="A45" t="str">
        <f>"00369078"</f>
        <v>00369078</v>
      </c>
      <c r="B45" t="s">
        <v>1330</v>
      </c>
      <c r="C45" t="s">
        <v>1331</v>
      </c>
      <c r="D45" t="s">
        <v>15</v>
      </c>
      <c r="E45" t="s">
        <v>16</v>
      </c>
      <c r="F45" t="s">
        <v>34</v>
      </c>
      <c r="G45" t="str">
        <f>"01"</f>
        <v>01</v>
      </c>
      <c r="H45" t="str">
        <f>"0  "</f>
        <v xml:space="preserve">0  </v>
      </c>
      <c r="I45" t="str">
        <f>"2020/08/25"</f>
        <v>2020/08/25</v>
      </c>
      <c r="J45" t="str">
        <f>"420"</f>
        <v>420</v>
      </c>
      <c r="K45" t="s">
        <v>18</v>
      </c>
      <c r="L45" t="s">
        <v>18</v>
      </c>
      <c r="M45" t="s">
        <v>18</v>
      </c>
    </row>
    <row r="46" spans="1:13" x14ac:dyDescent="0.25">
      <c r="A46" t="str">
        <f>"00609688"</f>
        <v>00609688</v>
      </c>
      <c r="B46" t="s">
        <v>1354</v>
      </c>
      <c r="C46" t="s">
        <v>1355</v>
      </c>
      <c r="D46" t="s">
        <v>215</v>
      </c>
      <c r="E46" t="s">
        <v>16</v>
      </c>
      <c r="F46" t="s">
        <v>34</v>
      </c>
      <c r="G46" t="str">
        <f>"01"</f>
        <v>01</v>
      </c>
      <c r="H46" t="str">
        <f>"0  "</f>
        <v xml:space="preserve">0  </v>
      </c>
      <c r="I46" t="str">
        <f>"2020/04/27"</f>
        <v>2020/04/27</v>
      </c>
      <c r="J46" t="str">
        <f>"420"</f>
        <v>420</v>
      </c>
      <c r="K46" t="s">
        <v>18</v>
      </c>
      <c r="L46" t="s">
        <v>18</v>
      </c>
      <c r="M46" t="s">
        <v>18</v>
      </c>
    </row>
    <row r="47" spans="1:13" x14ac:dyDescent="0.25">
      <c r="A47" t="str">
        <f>"00401593"</f>
        <v>00401593</v>
      </c>
      <c r="B47" t="s">
        <v>1394</v>
      </c>
      <c r="C47" t="s">
        <v>1395</v>
      </c>
      <c r="D47" t="s">
        <v>40</v>
      </c>
      <c r="E47" t="s">
        <v>16</v>
      </c>
      <c r="F47" t="s">
        <v>34</v>
      </c>
      <c r="G47" t="str">
        <f>"01"</f>
        <v>01</v>
      </c>
      <c r="H47" t="str">
        <f>"3  "</f>
        <v xml:space="preserve">3  </v>
      </c>
      <c r="I47" t="str">
        <f>"2013/11/07"</f>
        <v>2013/11/07</v>
      </c>
      <c r="J47" t="str">
        <f>"110"</f>
        <v>110</v>
      </c>
      <c r="K47" t="str">
        <f>"20450217"</f>
        <v>20450217</v>
      </c>
      <c r="L47" t="s">
        <v>18</v>
      </c>
      <c r="M47" t="str">
        <f>"20121220"</f>
        <v>20121220</v>
      </c>
    </row>
    <row r="48" spans="1:13" x14ac:dyDescent="0.25">
      <c r="A48" t="str">
        <f>"00607922"</f>
        <v>00607922</v>
      </c>
      <c r="B48" t="s">
        <v>1402</v>
      </c>
      <c r="C48" t="s">
        <v>707</v>
      </c>
      <c r="D48" t="s">
        <v>25</v>
      </c>
      <c r="E48" t="s">
        <v>26</v>
      </c>
      <c r="F48" t="s">
        <v>34</v>
      </c>
      <c r="G48" t="str">
        <f>"01"</f>
        <v>01</v>
      </c>
      <c r="H48" t="str">
        <f>"1  "</f>
        <v xml:space="preserve">1  </v>
      </c>
      <c r="I48" t="str">
        <f>"2020/02/12"</f>
        <v>2020/02/12</v>
      </c>
      <c r="J48" t="str">
        <f>"120"</f>
        <v>120</v>
      </c>
      <c r="K48" t="str">
        <f>"20201121"</f>
        <v>20201121</v>
      </c>
      <c r="L48" t="s">
        <v>18</v>
      </c>
      <c r="M48" t="str">
        <f>"20191216"</f>
        <v>20191216</v>
      </c>
    </row>
    <row r="49" spans="1:13" x14ac:dyDescent="0.25">
      <c r="A49" t="str">
        <f>"00604823"</f>
        <v>00604823</v>
      </c>
      <c r="B49" t="s">
        <v>1405</v>
      </c>
      <c r="C49" t="s">
        <v>1406</v>
      </c>
      <c r="D49" t="s">
        <v>77</v>
      </c>
      <c r="E49" t="s">
        <v>16</v>
      </c>
      <c r="F49" t="s">
        <v>34</v>
      </c>
      <c r="G49" t="str">
        <f>"01"</f>
        <v>01</v>
      </c>
      <c r="H49" t="str">
        <f>"3  "</f>
        <v xml:space="preserve">3  </v>
      </c>
      <c r="I49" t="str">
        <f>"2019/12/18"</f>
        <v>2019/12/18</v>
      </c>
      <c r="J49" t="str">
        <f>"110"</f>
        <v>110</v>
      </c>
      <c r="K49" t="str">
        <f>"20430501"</f>
        <v>20430501</v>
      </c>
      <c r="L49" t="s">
        <v>18</v>
      </c>
      <c r="M49" t="str">
        <f>"20160929"</f>
        <v>20160929</v>
      </c>
    </row>
    <row r="50" spans="1:13" x14ac:dyDescent="0.25">
      <c r="A50" t="str">
        <f>"00502948"</f>
        <v>00502948</v>
      </c>
      <c r="B50" t="s">
        <v>1426</v>
      </c>
      <c r="C50" t="s">
        <v>1427</v>
      </c>
      <c r="D50" t="s">
        <v>40</v>
      </c>
      <c r="E50" t="s">
        <v>26</v>
      </c>
      <c r="F50" t="s">
        <v>34</v>
      </c>
      <c r="G50" t="str">
        <f>"01"</f>
        <v>01</v>
      </c>
      <c r="H50" t="str">
        <f>"3  "</f>
        <v xml:space="preserve">3  </v>
      </c>
      <c r="I50" t="str">
        <f>"2019/11/22"</f>
        <v>2019/11/22</v>
      </c>
      <c r="J50" t="str">
        <f>"120"</f>
        <v>120</v>
      </c>
      <c r="K50" t="str">
        <f>"20201124"</f>
        <v>20201124</v>
      </c>
      <c r="L50" t="s">
        <v>18</v>
      </c>
      <c r="M50" t="str">
        <f>"20191106"</f>
        <v>20191106</v>
      </c>
    </row>
    <row r="51" spans="1:13" x14ac:dyDescent="0.25">
      <c r="A51" t="str">
        <f>"00890792"</f>
        <v>00890792</v>
      </c>
      <c r="B51" t="s">
        <v>1430</v>
      </c>
      <c r="C51" t="s">
        <v>1431</v>
      </c>
      <c r="D51" t="s">
        <v>40</v>
      </c>
      <c r="E51" t="s">
        <v>26</v>
      </c>
      <c r="F51" t="s">
        <v>34</v>
      </c>
      <c r="G51" t="str">
        <f>"01"</f>
        <v>01</v>
      </c>
      <c r="H51" t="str">
        <f>"0  "</f>
        <v xml:space="preserve">0  </v>
      </c>
      <c r="I51" t="str">
        <f>"2019/09/06"</f>
        <v>2019/09/06</v>
      </c>
      <c r="J51" t="str">
        <f>"420"</f>
        <v>420</v>
      </c>
      <c r="K51" t="s">
        <v>18</v>
      </c>
      <c r="L51" t="s">
        <v>18</v>
      </c>
      <c r="M51" t="s">
        <v>18</v>
      </c>
    </row>
    <row r="52" spans="1:13" x14ac:dyDescent="0.25">
      <c r="A52" t="str">
        <f>"00764532"</f>
        <v>00764532</v>
      </c>
      <c r="B52" t="s">
        <v>1473</v>
      </c>
      <c r="C52" t="s">
        <v>1475</v>
      </c>
      <c r="D52" t="s">
        <v>40</v>
      </c>
      <c r="E52" t="s">
        <v>26</v>
      </c>
      <c r="F52" t="s">
        <v>34</v>
      </c>
      <c r="G52" t="str">
        <f>"01"</f>
        <v>01</v>
      </c>
      <c r="H52" t="str">
        <f>"0  "</f>
        <v xml:space="preserve">0  </v>
      </c>
      <c r="I52" t="str">
        <f>"2020/09/23"</f>
        <v>2020/09/23</v>
      </c>
      <c r="J52" t="str">
        <f>"420"</f>
        <v>420</v>
      </c>
      <c r="K52" t="s">
        <v>18</v>
      </c>
      <c r="L52" t="s">
        <v>18</v>
      </c>
      <c r="M52" t="s">
        <v>18</v>
      </c>
    </row>
    <row r="53" spans="1:13" x14ac:dyDescent="0.25">
      <c r="A53" t="str">
        <f>"00927761"</f>
        <v>00927761</v>
      </c>
      <c r="B53" t="s">
        <v>1480</v>
      </c>
      <c r="C53" t="s">
        <v>1481</v>
      </c>
      <c r="D53" t="s">
        <v>121</v>
      </c>
      <c r="E53" t="s">
        <v>26</v>
      </c>
      <c r="F53" t="s">
        <v>34</v>
      </c>
      <c r="G53" t="str">
        <f>"01"</f>
        <v>01</v>
      </c>
      <c r="H53" t="str">
        <f>"0  "</f>
        <v xml:space="preserve">0  </v>
      </c>
      <c r="I53" t="str">
        <f>"2020/03/09"</f>
        <v>2020/03/09</v>
      </c>
      <c r="J53" t="str">
        <f>"503"</f>
        <v>503</v>
      </c>
      <c r="K53" t="s">
        <v>18</v>
      </c>
      <c r="L53" t="s">
        <v>18</v>
      </c>
      <c r="M53" t="s">
        <v>18</v>
      </c>
    </row>
    <row r="54" spans="1:13" x14ac:dyDescent="0.25">
      <c r="A54" t="str">
        <f>"00222006"</f>
        <v>00222006</v>
      </c>
      <c r="B54" t="s">
        <v>1508</v>
      </c>
      <c r="C54" t="s">
        <v>1399</v>
      </c>
      <c r="D54" t="s">
        <v>40</v>
      </c>
      <c r="E54" t="s">
        <v>26</v>
      </c>
      <c r="F54" t="s">
        <v>34</v>
      </c>
      <c r="G54" t="str">
        <f>"01"</f>
        <v>01</v>
      </c>
      <c r="H54" t="str">
        <f>"3  "</f>
        <v xml:space="preserve">3  </v>
      </c>
      <c r="I54" t="str">
        <f>"2012/01/31"</f>
        <v>2012/01/31</v>
      </c>
      <c r="J54" t="str">
        <f>"110"</f>
        <v>110</v>
      </c>
      <c r="K54" t="str">
        <f>"20321130"</f>
        <v>20321130</v>
      </c>
      <c r="L54" t="str">
        <f>"20330804"</f>
        <v>20330804</v>
      </c>
      <c r="M54" t="str">
        <f>"20110526"</f>
        <v>20110526</v>
      </c>
    </row>
    <row r="55" spans="1:13" x14ac:dyDescent="0.25">
      <c r="A55" t="str">
        <f>"00369858"</f>
        <v>00369858</v>
      </c>
      <c r="B55" t="s">
        <v>1544</v>
      </c>
      <c r="C55" t="s">
        <v>126</v>
      </c>
      <c r="D55" t="s">
        <v>40</v>
      </c>
      <c r="E55" t="s">
        <v>16</v>
      </c>
      <c r="F55" t="s">
        <v>34</v>
      </c>
      <c r="G55" t="str">
        <f>"01"</f>
        <v>01</v>
      </c>
      <c r="H55" t="str">
        <f>"3  "</f>
        <v xml:space="preserve">3  </v>
      </c>
      <c r="I55" t="str">
        <f>"2020/03/15"</f>
        <v>2020/03/15</v>
      </c>
      <c r="J55" t="str">
        <f>"120"</f>
        <v>120</v>
      </c>
      <c r="K55" t="str">
        <f>"20210318"</f>
        <v>20210318</v>
      </c>
      <c r="L55" t="s">
        <v>18</v>
      </c>
      <c r="M55" t="str">
        <f>"20200313"</f>
        <v>20200313</v>
      </c>
    </row>
    <row r="56" spans="1:13" x14ac:dyDescent="0.25">
      <c r="A56" t="str">
        <f>"00444374"</f>
        <v>00444374</v>
      </c>
      <c r="B56" t="s">
        <v>1691</v>
      </c>
      <c r="C56" t="s">
        <v>1692</v>
      </c>
      <c r="D56" t="s">
        <v>31</v>
      </c>
      <c r="E56" t="s">
        <v>26</v>
      </c>
      <c r="F56" t="s">
        <v>34</v>
      </c>
      <c r="G56" t="str">
        <f>"01"</f>
        <v>01</v>
      </c>
      <c r="H56" t="str">
        <f>"3  "</f>
        <v xml:space="preserve">3  </v>
      </c>
      <c r="I56" t="str">
        <f>"2020/08/17"</f>
        <v>2020/08/17</v>
      </c>
      <c r="J56" t="str">
        <f>"110"</f>
        <v>110</v>
      </c>
      <c r="K56" t="str">
        <f>"20220117"</f>
        <v>20220117</v>
      </c>
      <c r="L56" t="s">
        <v>18</v>
      </c>
      <c r="M56" t="str">
        <f>"20190520"</f>
        <v>20190520</v>
      </c>
    </row>
    <row r="57" spans="1:13" x14ac:dyDescent="0.25">
      <c r="A57" t="str">
        <f>"00913869"</f>
        <v>00913869</v>
      </c>
      <c r="B57" t="s">
        <v>1691</v>
      </c>
      <c r="C57" t="s">
        <v>1694</v>
      </c>
      <c r="D57" t="s">
        <v>45</v>
      </c>
      <c r="E57" t="s">
        <v>16</v>
      </c>
      <c r="F57" t="s">
        <v>34</v>
      </c>
      <c r="G57" t="str">
        <f>"01"</f>
        <v>01</v>
      </c>
      <c r="H57" t="str">
        <f>"3  "</f>
        <v xml:space="preserve">3  </v>
      </c>
      <c r="I57" t="str">
        <f>"2020/08/09"</f>
        <v>2020/08/09</v>
      </c>
      <c r="J57" t="str">
        <f>"110"</f>
        <v>110</v>
      </c>
      <c r="K57" t="str">
        <f>"20271221"</f>
        <v>20271221</v>
      </c>
      <c r="L57" t="s">
        <v>18</v>
      </c>
      <c r="M57" t="str">
        <f>"20191030"</f>
        <v>20191030</v>
      </c>
    </row>
    <row r="58" spans="1:13" x14ac:dyDescent="0.25">
      <c r="A58" t="str">
        <f>"00486256"</f>
        <v>00486256</v>
      </c>
      <c r="B58" t="s">
        <v>1705</v>
      </c>
      <c r="C58" t="s">
        <v>1706</v>
      </c>
      <c r="D58" t="s">
        <v>25</v>
      </c>
      <c r="E58" t="s">
        <v>26</v>
      </c>
      <c r="F58" t="s">
        <v>34</v>
      </c>
      <c r="G58" t="str">
        <f>"01"</f>
        <v>01</v>
      </c>
      <c r="H58" t="str">
        <f>"3  "</f>
        <v xml:space="preserve">3  </v>
      </c>
      <c r="I58" t="str">
        <f>"2016/05/23"</f>
        <v>2016/05/23</v>
      </c>
      <c r="J58" t="str">
        <f>"110"</f>
        <v>110</v>
      </c>
      <c r="K58" t="str">
        <f>"20320303"</f>
        <v>20320303</v>
      </c>
      <c r="L58" t="s">
        <v>18</v>
      </c>
      <c r="M58" t="str">
        <f>"20141016"</f>
        <v>20141016</v>
      </c>
    </row>
    <row r="59" spans="1:13" x14ac:dyDescent="0.25">
      <c r="A59" t="str">
        <f>"00201564"</f>
        <v>00201564</v>
      </c>
      <c r="B59" t="s">
        <v>1717</v>
      </c>
      <c r="C59" t="s">
        <v>1719</v>
      </c>
      <c r="D59" t="s">
        <v>21</v>
      </c>
      <c r="E59" t="s">
        <v>16</v>
      </c>
      <c r="F59" t="s">
        <v>34</v>
      </c>
      <c r="G59" t="str">
        <f>"01"</f>
        <v>01</v>
      </c>
      <c r="H59" t="str">
        <f>"0  "</f>
        <v xml:space="preserve">0  </v>
      </c>
      <c r="I59" t="str">
        <f>"2020/09/09"</f>
        <v>2020/09/09</v>
      </c>
      <c r="J59" t="str">
        <f>"420"</f>
        <v>420</v>
      </c>
      <c r="K59" t="s">
        <v>18</v>
      </c>
      <c r="L59" t="s">
        <v>18</v>
      </c>
      <c r="M59" t="s">
        <v>18</v>
      </c>
    </row>
    <row r="60" spans="1:13" x14ac:dyDescent="0.25">
      <c r="A60" t="str">
        <f>"00526700"</f>
        <v>00526700</v>
      </c>
      <c r="B60" t="s">
        <v>1721</v>
      </c>
      <c r="C60" t="s">
        <v>566</v>
      </c>
      <c r="D60" t="s">
        <v>26</v>
      </c>
      <c r="E60" t="s">
        <v>16</v>
      </c>
      <c r="F60" t="s">
        <v>34</v>
      </c>
      <c r="G60" t="str">
        <f>"01"</f>
        <v>01</v>
      </c>
      <c r="H60" t="str">
        <f>"3  "</f>
        <v xml:space="preserve">3  </v>
      </c>
      <c r="I60" t="str">
        <f>"2020/02/26"</f>
        <v>2020/02/26</v>
      </c>
      <c r="J60" t="str">
        <f>"110"</f>
        <v>110</v>
      </c>
      <c r="K60" t="str">
        <f>"20240724"</f>
        <v>20240724</v>
      </c>
      <c r="L60" t="s">
        <v>18</v>
      </c>
      <c r="M60" t="str">
        <f>"20190731"</f>
        <v>20190731</v>
      </c>
    </row>
    <row r="61" spans="1:13" x14ac:dyDescent="0.25">
      <c r="A61" t="str">
        <f>"00702827"</f>
        <v>00702827</v>
      </c>
      <c r="B61" t="s">
        <v>1760</v>
      </c>
      <c r="C61" t="s">
        <v>1761</v>
      </c>
      <c r="D61" t="s">
        <v>21</v>
      </c>
      <c r="E61" t="s">
        <v>16</v>
      </c>
      <c r="F61" t="s">
        <v>34</v>
      </c>
      <c r="G61" t="str">
        <f>"01"</f>
        <v>01</v>
      </c>
      <c r="H61" t="str">
        <f>"0  "</f>
        <v xml:space="preserve">0  </v>
      </c>
      <c r="I61" t="str">
        <f>"2020/07/22"</f>
        <v>2020/07/22</v>
      </c>
      <c r="J61" t="str">
        <f>"420"</f>
        <v>420</v>
      </c>
      <c r="K61" t="s">
        <v>18</v>
      </c>
      <c r="L61" t="s">
        <v>18</v>
      </c>
      <c r="M61" t="s">
        <v>18</v>
      </c>
    </row>
    <row r="62" spans="1:13" x14ac:dyDescent="0.25">
      <c r="A62" t="str">
        <f>"00846863"</f>
        <v>00846863</v>
      </c>
      <c r="B62" t="s">
        <v>1776</v>
      </c>
      <c r="C62" t="s">
        <v>1777</v>
      </c>
      <c r="D62" t="s">
        <v>25</v>
      </c>
      <c r="E62" t="s">
        <v>16</v>
      </c>
      <c r="F62" t="s">
        <v>34</v>
      </c>
      <c r="G62" t="str">
        <f>"01"</f>
        <v>01</v>
      </c>
      <c r="H62" t="str">
        <f>"1  "</f>
        <v xml:space="preserve">1  </v>
      </c>
      <c r="I62" t="str">
        <f>"2020/09/04"</f>
        <v>2020/09/04</v>
      </c>
      <c r="J62" t="str">
        <f>"120"</f>
        <v>120</v>
      </c>
      <c r="K62" t="str">
        <f>"20201224"</f>
        <v>20201224</v>
      </c>
      <c r="L62" t="s">
        <v>18</v>
      </c>
      <c r="M62" t="str">
        <f>"20200904"</f>
        <v>20200904</v>
      </c>
    </row>
    <row r="63" spans="1:13" x14ac:dyDescent="0.25">
      <c r="A63" t="str">
        <f>"00716726"</f>
        <v>00716726</v>
      </c>
      <c r="B63" t="s">
        <v>1778</v>
      </c>
      <c r="C63" t="s">
        <v>1240</v>
      </c>
      <c r="D63" t="s">
        <v>15</v>
      </c>
      <c r="E63" t="s">
        <v>16</v>
      </c>
      <c r="F63" t="s">
        <v>34</v>
      </c>
      <c r="G63" t="str">
        <f>"01"</f>
        <v>01</v>
      </c>
      <c r="H63" t="str">
        <f>"3  "</f>
        <v xml:space="preserve">3  </v>
      </c>
      <c r="I63" t="str">
        <f>"2019/10/23"</f>
        <v>2019/10/23</v>
      </c>
      <c r="J63" t="str">
        <f>"120"</f>
        <v>120</v>
      </c>
      <c r="K63" t="str">
        <f>"20220424"</f>
        <v>20220424</v>
      </c>
      <c r="L63" t="s">
        <v>18</v>
      </c>
      <c r="M63" t="str">
        <f>"20191022"</f>
        <v>20191022</v>
      </c>
    </row>
    <row r="64" spans="1:13" x14ac:dyDescent="0.25">
      <c r="A64" t="str">
        <f>"00278835"</f>
        <v>00278835</v>
      </c>
      <c r="B64" t="s">
        <v>1802</v>
      </c>
      <c r="C64" t="s">
        <v>1804</v>
      </c>
      <c r="D64" t="s">
        <v>51</v>
      </c>
      <c r="E64" t="s">
        <v>26</v>
      </c>
      <c r="F64" t="s">
        <v>34</v>
      </c>
      <c r="G64" t="str">
        <f>"01"</f>
        <v>01</v>
      </c>
      <c r="H64" t="str">
        <f>"3  "</f>
        <v xml:space="preserve">3  </v>
      </c>
      <c r="I64" t="str">
        <f>"2020/03/11"</f>
        <v>2020/03/11</v>
      </c>
      <c r="J64" t="str">
        <f>"120"</f>
        <v>120</v>
      </c>
      <c r="K64" t="str">
        <f>"20290215"</f>
        <v>20290215</v>
      </c>
      <c r="L64" t="s">
        <v>18</v>
      </c>
      <c r="M64" t="str">
        <f>"20200224"</f>
        <v>20200224</v>
      </c>
    </row>
    <row r="65" spans="1:13" x14ac:dyDescent="0.25">
      <c r="A65" t="str">
        <f>"00542228"</f>
        <v>00542228</v>
      </c>
      <c r="B65" t="s">
        <v>1836</v>
      </c>
      <c r="C65" t="s">
        <v>1837</v>
      </c>
      <c r="D65" t="s">
        <v>40</v>
      </c>
      <c r="E65" t="s">
        <v>16</v>
      </c>
      <c r="F65" t="s">
        <v>34</v>
      </c>
      <c r="G65" t="str">
        <f>"01"</f>
        <v>01</v>
      </c>
      <c r="H65" t="str">
        <f>"1  "</f>
        <v xml:space="preserve">1  </v>
      </c>
      <c r="I65" t="str">
        <f>"2020/09/04"</f>
        <v>2020/09/04</v>
      </c>
      <c r="J65" t="str">
        <f>"110"</f>
        <v>110</v>
      </c>
      <c r="K65" t="str">
        <f>"20201001"</f>
        <v>20201001</v>
      </c>
      <c r="L65" t="s">
        <v>18</v>
      </c>
      <c r="M65" t="str">
        <f>"20200904"</f>
        <v>20200904</v>
      </c>
    </row>
    <row r="66" spans="1:13" x14ac:dyDescent="0.25">
      <c r="A66" t="str">
        <f>"00244556"</f>
        <v>00244556</v>
      </c>
      <c r="B66" t="s">
        <v>1840</v>
      </c>
      <c r="C66" t="s">
        <v>1767</v>
      </c>
      <c r="D66" t="s">
        <v>15</v>
      </c>
      <c r="E66" t="s">
        <v>16</v>
      </c>
      <c r="F66" t="s">
        <v>34</v>
      </c>
      <c r="G66" t="str">
        <f>"01"</f>
        <v>01</v>
      </c>
      <c r="H66" t="str">
        <f>"0  "</f>
        <v xml:space="preserve">0  </v>
      </c>
      <c r="I66" t="str">
        <f>"2020/07/13"</f>
        <v>2020/07/13</v>
      </c>
      <c r="J66" t="str">
        <f>"420"</f>
        <v>420</v>
      </c>
      <c r="K66" t="s">
        <v>18</v>
      </c>
      <c r="L66" t="s">
        <v>18</v>
      </c>
      <c r="M66" t="s">
        <v>18</v>
      </c>
    </row>
    <row r="67" spans="1:13" x14ac:dyDescent="0.25">
      <c r="A67" t="str">
        <f>"00828928"</f>
        <v>00828928</v>
      </c>
      <c r="B67" t="s">
        <v>1840</v>
      </c>
      <c r="C67" t="s">
        <v>707</v>
      </c>
      <c r="D67" t="s">
        <v>15</v>
      </c>
      <c r="E67" t="s">
        <v>16</v>
      </c>
      <c r="F67" t="s">
        <v>34</v>
      </c>
      <c r="G67" t="str">
        <f>"01"</f>
        <v>01</v>
      </c>
      <c r="H67" t="str">
        <f>"0  "</f>
        <v xml:space="preserve">0  </v>
      </c>
      <c r="I67" t="str">
        <f>"2020/09/20"</f>
        <v>2020/09/20</v>
      </c>
      <c r="J67" t="str">
        <f>"503"</f>
        <v>503</v>
      </c>
      <c r="K67" t="s">
        <v>18</v>
      </c>
      <c r="L67" t="s">
        <v>18</v>
      </c>
      <c r="M67" t="s">
        <v>18</v>
      </c>
    </row>
    <row r="68" spans="1:13" x14ac:dyDescent="0.25">
      <c r="A68" t="str">
        <f>"00204046"</f>
        <v>00204046</v>
      </c>
      <c r="B68" t="s">
        <v>1864</v>
      </c>
      <c r="C68" t="s">
        <v>1865</v>
      </c>
      <c r="D68" t="s">
        <v>51</v>
      </c>
      <c r="E68" t="s">
        <v>16</v>
      </c>
      <c r="F68" t="s">
        <v>34</v>
      </c>
      <c r="G68" t="str">
        <f>"01"</f>
        <v>01</v>
      </c>
      <c r="H68" t="str">
        <f>"3  "</f>
        <v xml:space="preserve">3  </v>
      </c>
      <c r="I68" t="str">
        <f>"2019/03/19"</f>
        <v>2019/03/19</v>
      </c>
      <c r="J68" t="str">
        <f>"110"</f>
        <v>110</v>
      </c>
      <c r="K68" t="str">
        <f>"20220425"</f>
        <v>20220425</v>
      </c>
      <c r="L68" t="s">
        <v>18</v>
      </c>
      <c r="M68" t="str">
        <f>"20181204"</f>
        <v>20181204</v>
      </c>
    </row>
    <row r="69" spans="1:13" x14ac:dyDescent="0.25">
      <c r="A69" t="str">
        <f>"00893626"</f>
        <v>00893626</v>
      </c>
      <c r="B69" t="s">
        <v>1889</v>
      </c>
      <c r="C69" t="s">
        <v>1890</v>
      </c>
      <c r="D69" t="s">
        <v>26</v>
      </c>
      <c r="E69" t="s">
        <v>16</v>
      </c>
      <c r="F69" t="s">
        <v>34</v>
      </c>
      <c r="G69" t="str">
        <f>"01"</f>
        <v>01</v>
      </c>
      <c r="H69" t="str">
        <f>"3  "</f>
        <v xml:space="preserve">3  </v>
      </c>
      <c r="I69" t="str">
        <f>"2019/09/30"</f>
        <v>2019/09/30</v>
      </c>
      <c r="J69" t="str">
        <f>"110"</f>
        <v>110</v>
      </c>
      <c r="K69" t="str">
        <f>"20270726"</f>
        <v>20270726</v>
      </c>
      <c r="L69" t="s">
        <v>18</v>
      </c>
      <c r="M69" t="str">
        <f>"20190624"</f>
        <v>20190624</v>
      </c>
    </row>
    <row r="70" spans="1:13" x14ac:dyDescent="0.25">
      <c r="A70" t="str">
        <f>"00254358"</f>
        <v>00254358</v>
      </c>
      <c r="B70" t="s">
        <v>1894</v>
      </c>
      <c r="C70" t="s">
        <v>479</v>
      </c>
      <c r="D70" t="s">
        <v>51</v>
      </c>
      <c r="E70" t="s">
        <v>16</v>
      </c>
      <c r="F70" t="s">
        <v>34</v>
      </c>
      <c r="G70" t="str">
        <f>"01"</f>
        <v>01</v>
      </c>
      <c r="H70" t="str">
        <f>"0  "</f>
        <v xml:space="preserve">0  </v>
      </c>
      <c r="I70" t="str">
        <f>"2020/09/13"</f>
        <v>2020/09/13</v>
      </c>
      <c r="J70" t="str">
        <f>"503"</f>
        <v>503</v>
      </c>
      <c r="K70" t="s">
        <v>18</v>
      </c>
      <c r="L70" t="s">
        <v>18</v>
      </c>
      <c r="M70" t="s">
        <v>18</v>
      </c>
    </row>
    <row r="71" spans="1:13" x14ac:dyDescent="0.25">
      <c r="A71" t="str">
        <f>"00601497"</f>
        <v>00601497</v>
      </c>
      <c r="B71" t="s">
        <v>1898</v>
      </c>
      <c r="C71" t="s">
        <v>1579</v>
      </c>
      <c r="D71" t="s">
        <v>51</v>
      </c>
      <c r="E71" t="s">
        <v>26</v>
      </c>
      <c r="F71" t="s">
        <v>34</v>
      </c>
      <c r="G71" t="str">
        <f>"01"</f>
        <v>01</v>
      </c>
      <c r="H71" t="str">
        <f>"0  "</f>
        <v xml:space="preserve">0  </v>
      </c>
      <c r="I71" t="str">
        <f>"2020/09/16"</f>
        <v>2020/09/16</v>
      </c>
      <c r="J71" t="str">
        <f>"420"</f>
        <v>420</v>
      </c>
      <c r="K71" t="s">
        <v>18</v>
      </c>
      <c r="L71" t="s">
        <v>18</v>
      </c>
      <c r="M71" t="s">
        <v>18</v>
      </c>
    </row>
    <row r="72" spans="1:13" x14ac:dyDescent="0.25">
      <c r="A72" t="str">
        <f>"00594749"</f>
        <v>00594749</v>
      </c>
      <c r="B72" t="s">
        <v>1904</v>
      </c>
      <c r="C72" t="s">
        <v>476</v>
      </c>
      <c r="D72" t="s">
        <v>25</v>
      </c>
      <c r="E72" t="s">
        <v>16</v>
      </c>
      <c r="F72" t="s">
        <v>34</v>
      </c>
      <c r="G72" t="str">
        <f>"01"</f>
        <v>01</v>
      </c>
      <c r="H72" t="str">
        <f>"1  "</f>
        <v xml:space="preserve">1  </v>
      </c>
      <c r="I72" t="str">
        <f>"2020/03/06"</f>
        <v>2020/03/06</v>
      </c>
      <c r="J72" t="str">
        <f>"120"</f>
        <v>120</v>
      </c>
      <c r="K72" t="str">
        <f>"20201218"</f>
        <v>20201218</v>
      </c>
      <c r="L72" t="s">
        <v>18</v>
      </c>
      <c r="M72" t="str">
        <f>"20200123"</f>
        <v>20200123</v>
      </c>
    </row>
    <row r="73" spans="1:13" x14ac:dyDescent="0.25">
      <c r="A73" t="str">
        <f>"00583962"</f>
        <v>00583962</v>
      </c>
      <c r="B73" t="s">
        <v>1917</v>
      </c>
      <c r="C73" t="s">
        <v>1054</v>
      </c>
      <c r="D73" t="s">
        <v>15</v>
      </c>
      <c r="E73" t="s">
        <v>16</v>
      </c>
      <c r="F73" t="s">
        <v>34</v>
      </c>
      <c r="G73" t="str">
        <f>"01"</f>
        <v>01</v>
      </c>
      <c r="H73" t="str">
        <f>"3  "</f>
        <v xml:space="preserve">3  </v>
      </c>
      <c r="I73" t="str">
        <f>"2020/02/14"</f>
        <v>2020/02/14</v>
      </c>
      <c r="J73" t="str">
        <f>"120"</f>
        <v>120</v>
      </c>
      <c r="K73" t="str">
        <f>"20210119"</f>
        <v>20210119</v>
      </c>
      <c r="L73" t="s">
        <v>18</v>
      </c>
      <c r="M73" t="str">
        <f>"20200210"</f>
        <v>20200210</v>
      </c>
    </row>
    <row r="74" spans="1:13" x14ac:dyDescent="0.25">
      <c r="A74" t="str">
        <f>"00284044"</f>
        <v>00284044</v>
      </c>
      <c r="B74" t="s">
        <v>1942</v>
      </c>
      <c r="C74" t="s">
        <v>1944</v>
      </c>
      <c r="D74" t="s">
        <v>40</v>
      </c>
      <c r="E74" t="s">
        <v>16</v>
      </c>
      <c r="F74" t="s">
        <v>34</v>
      </c>
      <c r="G74" t="str">
        <f>"01"</f>
        <v>01</v>
      </c>
      <c r="H74" t="str">
        <f>"3  "</f>
        <v xml:space="preserve">3  </v>
      </c>
      <c r="I74" t="str">
        <f>"2015/03/20"</f>
        <v>2015/03/20</v>
      </c>
      <c r="J74" t="str">
        <f>"110"</f>
        <v>110</v>
      </c>
      <c r="K74" t="str">
        <f>"20350915"</f>
        <v>20350915</v>
      </c>
      <c r="L74" t="s">
        <v>18</v>
      </c>
      <c r="M74" t="str">
        <f>"20131216"</f>
        <v>20131216</v>
      </c>
    </row>
    <row r="75" spans="1:13" x14ac:dyDescent="0.25">
      <c r="A75" t="str">
        <f>"00320536"</f>
        <v>00320536</v>
      </c>
      <c r="B75" t="s">
        <v>1948</v>
      </c>
      <c r="C75" t="s">
        <v>1949</v>
      </c>
      <c r="D75" t="s">
        <v>15</v>
      </c>
      <c r="E75" t="s">
        <v>26</v>
      </c>
      <c r="F75" t="s">
        <v>34</v>
      </c>
      <c r="G75" t="str">
        <f>"01"</f>
        <v>01</v>
      </c>
      <c r="H75" t="str">
        <f>"0  "</f>
        <v xml:space="preserve">0  </v>
      </c>
      <c r="I75" t="str">
        <f>"2020/09/17"</f>
        <v>2020/09/17</v>
      </c>
      <c r="J75" t="str">
        <f>"420"</f>
        <v>420</v>
      </c>
      <c r="K75" t="s">
        <v>18</v>
      </c>
      <c r="L75" t="s">
        <v>18</v>
      </c>
      <c r="M75" t="s">
        <v>18</v>
      </c>
    </row>
    <row r="76" spans="1:13" x14ac:dyDescent="0.25">
      <c r="A76" t="str">
        <f>"00225590"</f>
        <v>00225590</v>
      </c>
      <c r="B76" t="s">
        <v>1969</v>
      </c>
      <c r="C76" t="s">
        <v>1970</v>
      </c>
      <c r="D76" t="s">
        <v>51</v>
      </c>
      <c r="E76" t="s">
        <v>26</v>
      </c>
      <c r="F76" t="s">
        <v>34</v>
      </c>
      <c r="G76" t="str">
        <f>"01"</f>
        <v>01</v>
      </c>
      <c r="H76" t="str">
        <f>"3  "</f>
        <v xml:space="preserve">3  </v>
      </c>
      <c r="I76" t="str">
        <f>"2020/07/22"</f>
        <v>2020/07/22</v>
      </c>
      <c r="J76" t="str">
        <f>"120"</f>
        <v>120</v>
      </c>
      <c r="K76" t="str">
        <f>"20241225"</f>
        <v>20241225</v>
      </c>
      <c r="L76" t="s">
        <v>18</v>
      </c>
      <c r="M76" t="str">
        <f>"20200616"</f>
        <v>20200616</v>
      </c>
    </row>
    <row r="77" spans="1:13" x14ac:dyDescent="0.25">
      <c r="A77" t="str">
        <f>"00452913"</f>
        <v>00452913</v>
      </c>
      <c r="B77" t="s">
        <v>2055</v>
      </c>
      <c r="C77" t="s">
        <v>2056</v>
      </c>
      <c r="D77" t="s">
        <v>25</v>
      </c>
      <c r="E77" t="s">
        <v>26</v>
      </c>
      <c r="F77" t="s">
        <v>34</v>
      </c>
      <c r="G77" t="str">
        <f>"01"</f>
        <v>01</v>
      </c>
      <c r="H77" t="str">
        <f>"0  "</f>
        <v xml:space="preserve">0  </v>
      </c>
      <c r="I77" t="str">
        <f>"2019/05/16"</f>
        <v>2019/05/16</v>
      </c>
      <c r="J77" t="str">
        <f>"420"</f>
        <v>420</v>
      </c>
      <c r="K77" t="s">
        <v>18</v>
      </c>
      <c r="L77" t="s">
        <v>18</v>
      </c>
      <c r="M77" t="s">
        <v>18</v>
      </c>
    </row>
    <row r="78" spans="1:13" x14ac:dyDescent="0.25">
      <c r="A78" t="str">
        <f>"00282207"</f>
        <v>00282207</v>
      </c>
      <c r="B78" t="s">
        <v>2061</v>
      </c>
      <c r="C78" t="s">
        <v>2067</v>
      </c>
      <c r="D78" t="s">
        <v>15</v>
      </c>
      <c r="E78" t="s">
        <v>26</v>
      </c>
      <c r="F78" t="s">
        <v>34</v>
      </c>
      <c r="G78" t="str">
        <f>"01"</f>
        <v>01</v>
      </c>
      <c r="H78" t="str">
        <f>"3  "</f>
        <v xml:space="preserve">3  </v>
      </c>
      <c r="I78" t="str">
        <f>"2004/03/22"</f>
        <v>2004/03/22</v>
      </c>
      <c r="J78" t="str">
        <f>"110"</f>
        <v>110</v>
      </c>
      <c r="K78" t="str">
        <f>"20290721"</f>
        <v>20290721</v>
      </c>
      <c r="L78" t="s">
        <v>18</v>
      </c>
      <c r="M78" t="str">
        <f>"20020716"</f>
        <v>20020716</v>
      </c>
    </row>
    <row r="79" spans="1:13" x14ac:dyDescent="0.25">
      <c r="A79" t="str">
        <f>"00308320"</f>
        <v>00308320</v>
      </c>
      <c r="B79" t="s">
        <v>2061</v>
      </c>
      <c r="C79" t="s">
        <v>2070</v>
      </c>
      <c r="D79" t="s">
        <v>40</v>
      </c>
      <c r="E79" t="s">
        <v>26</v>
      </c>
      <c r="F79" t="s">
        <v>34</v>
      </c>
      <c r="G79" t="str">
        <f>"01"</f>
        <v>01</v>
      </c>
      <c r="H79" t="str">
        <f>"3  "</f>
        <v xml:space="preserve">3  </v>
      </c>
      <c r="I79" t="str">
        <f>"2013/05/08"</f>
        <v>2013/05/08</v>
      </c>
      <c r="J79" t="str">
        <f>"110"</f>
        <v>110</v>
      </c>
      <c r="K79" t="str">
        <f>"20291230"</f>
        <v>20291230</v>
      </c>
      <c r="L79" t="s">
        <v>18</v>
      </c>
      <c r="M79" t="str">
        <f>"20120619"</f>
        <v>20120619</v>
      </c>
    </row>
    <row r="80" spans="1:13" x14ac:dyDescent="0.25">
      <c r="A80" t="str">
        <f>"00835783"</f>
        <v>00835783</v>
      </c>
      <c r="B80" t="s">
        <v>2092</v>
      </c>
      <c r="C80" t="s">
        <v>2093</v>
      </c>
      <c r="D80" t="s">
        <v>15</v>
      </c>
      <c r="E80" t="s">
        <v>16</v>
      </c>
      <c r="F80" t="s">
        <v>34</v>
      </c>
      <c r="G80" t="str">
        <f>"01"</f>
        <v>01</v>
      </c>
      <c r="H80" t="str">
        <f>"3  "</f>
        <v xml:space="preserve">3  </v>
      </c>
      <c r="I80" t="str">
        <f>"2018/08/20"</f>
        <v>2018/08/20</v>
      </c>
      <c r="J80" t="str">
        <f>"110"</f>
        <v>110</v>
      </c>
      <c r="K80" t="str">
        <f>"20291024"</f>
        <v>20291024</v>
      </c>
      <c r="L80" t="s">
        <v>18</v>
      </c>
      <c r="M80" t="str">
        <f>"20160824"</f>
        <v>20160824</v>
      </c>
    </row>
    <row r="81" spans="1:13" x14ac:dyDescent="0.25">
      <c r="A81" t="str">
        <f>"00420618"</f>
        <v>00420618</v>
      </c>
      <c r="B81" t="s">
        <v>2103</v>
      </c>
      <c r="C81" t="s">
        <v>294</v>
      </c>
      <c r="D81" t="s">
        <v>47</v>
      </c>
      <c r="E81" t="s">
        <v>16</v>
      </c>
      <c r="F81" t="s">
        <v>34</v>
      </c>
      <c r="G81" t="str">
        <f>"01"</f>
        <v>01</v>
      </c>
      <c r="H81" t="str">
        <f>"0  "</f>
        <v xml:space="preserve">0  </v>
      </c>
      <c r="I81" t="str">
        <f>"2020/09/05"</f>
        <v>2020/09/05</v>
      </c>
      <c r="J81" t="str">
        <f>"420"</f>
        <v>420</v>
      </c>
      <c r="K81" t="s">
        <v>18</v>
      </c>
      <c r="L81" t="s">
        <v>18</v>
      </c>
      <c r="M81" t="s">
        <v>18</v>
      </c>
    </row>
    <row r="82" spans="1:13" x14ac:dyDescent="0.25">
      <c r="A82" t="str">
        <f>"00935433"</f>
        <v>00935433</v>
      </c>
      <c r="B82" t="s">
        <v>2122</v>
      </c>
      <c r="C82" t="s">
        <v>2133</v>
      </c>
      <c r="D82" t="s">
        <v>25</v>
      </c>
      <c r="E82" t="s">
        <v>26</v>
      </c>
      <c r="F82" t="s">
        <v>34</v>
      </c>
      <c r="G82" t="str">
        <f>"01"</f>
        <v>01</v>
      </c>
      <c r="H82" t="str">
        <f>"0  "</f>
        <v xml:space="preserve">0  </v>
      </c>
      <c r="I82" t="str">
        <f>"2020/08/21"</f>
        <v>2020/08/21</v>
      </c>
      <c r="J82" t="str">
        <f>"420"</f>
        <v>420</v>
      </c>
      <c r="K82" t="s">
        <v>18</v>
      </c>
      <c r="L82" t="s">
        <v>18</v>
      </c>
      <c r="M82" t="s">
        <v>18</v>
      </c>
    </row>
    <row r="83" spans="1:13" x14ac:dyDescent="0.25">
      <c r="A83" t="str">
        <f>"00728595"</f>
        <v>00728595</v>
      </c>
      <c r="B83" t="s">
        <v>2122</v>
      </c>
      <c r="C83" t="s">
        <v>476</v>
      </c>
      <c r="D83" t="s">
        <v>37</v>
      </c>
      <c r="E83" t="s">
        <v>26</v>
      </c>
      <c r="F83" t="s">
        <v>34</v>
      </c>
      <c r="G83" t="str">
        <f>"01"</f>
        <v>01</v>
      </c>
      <c r="H83" t="str">
        <f>"3  "</f>
        <v xml:space="preserve">3  </v>
      </c>
      <c r="I83" t="str">
        <f>"2020/01/15"</f>
        <v>2020/01/15</v>
      </c>
      <c r="J83" t="str">
        <f>"120"</f>
        <v>120</v>
      </c>
      <c r="K83" t="str">
        <f>"20240208"</f>
        <v>20240208</v>
      </c>
      <c r="L83" t="s">
        <v>18</v>
      </c>
      <c r="M83" t="str">
        <f>"20190826"</f>
        <v>20190826</v>
      </c>
    </row>
    <row r="84" spans="1:13" x14ac:dyDescent="0.25">
      <c r="A84" t="str">
        <f>"00365589"</f>
        <v>00365589</v>
      </c>
      <c r="B84" t="s">
        <v>2122</v>
      </c>
      <c r="C84" t="s">
        <v>2137</v>
      </c>
      <c r="D84" t="s">
        <v>21</v>
      </c>
      <c r="E84" t="s">
        <v>26</v>
      </c>
      <c r="F84" t="s">
        <v>34</v>
      </c>
      <c r="G84" t="str">
        <f>"01"</f>
        <v>01</v>
      </c>
      <c r="H84" t="str">
        <f>"3  "</f>
        <v xml:space="preserve">3  </v>
      </c>
      <c r="I84" t="str">
        <f>"2014/06/11"</f>
        <v>2014/06/11</v>
      </c>
      <c r="J84" t="str">
        <f>"534"</f>
        <v>534</v>
      </c>
      <c r="K84" t="str">
        <f>"20220120"</f>
        <v>20220120</v>
      </c>
      <c r="L84" t="s">
        <v>18</v>
      </c>
      <c r="M84" t="str">
        <f>"20101210"</f>
        <v>20101210</v>
      </c>
    </row>
    <row r="85" spans="1:13" x14ac:dyDescent="0.25">
      <c r="A85" t="str">
        <f>"00477941"</f>
        <v>00477941</v>
      </c>
      <c r="B85" t="s">
        <v>2160</v>
      </c>
      <c r="C85" t="s">
        <v>1530</v>
      </c>
      <c r="D85" t="s">
        <v>25</v>
      </c>
      <c r="E85" t="s">
        <v>26</v>
      </c>
      <c r="F85" t="s">
        <v>34</v>
      </c>
      <c r="G85" t="str">
        <f>"01"</f>
        <v>01</v>
      </c>
      <c r="H85" t="str">
        <f>"0  "</f>
        <v xml:space="preserve">0  </v>
      </c>
      <c r="I85" t="str">
        <f>"2020/08/23"</f>
        <v>2020/08/23</v>
      </c>
      <c r="J85" t="str">
        <f>"503"</f>
        <v>503</v>
      </c>
      <c r="K85" t="s">
        <v>18</v>
      </c>
      <c r="L85" t="s">
        <v>18</v>
      </c>
      <c r="M85" t="s">
        <v>18</v>
      </c>
    </row>
    <row r="86" spans="1:13" x14ac:dyDescent="0.25">
      <c r="A86" t="str">
        <f>"00389590"</f>
        <v>00389590</v>
      </c>
      <c r="B86" t="s">
        <v>2171</v>
      </c>
      <c r="C86" t="s">
        <v>976</v>
      </c>
      <c r="D86" t="s">
        <v>15</v>
      </c>
      <c r="E86" t="s">
        <v>16</v>
      </c>
      <c r="F86" t="s">
        <v>34</v>
      </c>
      <c r="G86" t="str">
        <f>"01"</f>
        <v>01</v>
      </c>
      <c r="H86" t="str">
        <f>"3  "</f>
        <v xml:space="preserve">3  </v>
      </c>
      <c r="I86" t="str">
        <f>"2020/06/26"</f>
        <v>2020/06/26</v>
      </c>
      <c r="J86" t="str">
        <f>"110"</f>
        <v>110</v>
      </c>
      <c r="K86" t="str">
        <f>"20241230"</f>
        <v>20241230</v>
      </c>
      <c r="L86" t="s">
        <v>18</v>
      </c>
      <c r="M86" t="str">
        <f>"20200622"</f>
        <v>20200622</v>
      </c>
    </row>
    <row r="87" spans="1:13" x14ac:dyDescent="0.25">
      <c r="A87" t="str">
        <f>"00820597"</f>
        <v>00820597</v>
      </c>
      <c r="B87" t="s">
        <v>2205</v>
      </c>
      <c r="C87" t="s">
        <v>2209</v>
      </c>
      <c r="D87" t="s">
        <v>25</v>
      </c>
      <c r="E87" t="s">
        <v>26</v>
      </c>
      <c r="F87" t="s">
        <v>34</v>
      </c>
      <c r="G87" t="str">
        <f>"01"</f>
        <v>01</v>
      </c>
      <c r="H87" t="str">
        <f>"0  "</f>
        <v xml:space="preserve">0  </v>
      </c>
      <c r="I87" t="str">
        <f>"2020/09/22"</f>
        <v>2020/09/22</v>
      </c>
      <c r="J87" t="str">
        <f>"440"</f>
        <v>440</v>
      </c>
      <c r="K87" t="s">
        <v>18</v>
      </c>
      <c r="L87" t="s">
        <v>18</v>
      </c>
      <c r="M87" t="s">
        <v>18</v>
      </c>
    </row>
    <row r="88" spans="1:13" x14ac:dyDescent="0.25">
      <c r="A88" t="str">
        <f>"00654682"</f>
        <v>00654682</v>
      </c>
      <c r="B88" t="s">
        <v>2275</v>
      </c>
      <c r="C88" t="s">
        <v>116</v>
      </c>
      <c r="D88" t="s">
        <v>215</v>
      </c>
      <c r="E88" t="s">
        <v>16</v>
      </c>
      <c r="F88" t="s">
        <v>34</v>
      </c>
      <c r="G88" t="str">
        <f>"01"</f>
        <v>01</v>
      </c>
      <c r="H88" t="str">
        <f>"0  "</f>
        <v xml:space="preserve">0  </v>
      </c>
      <c r="I88" t="str">
        <f>"2020/09/17"</f>
        <v>2020/09/17</v>
      </c>
      <c r="J88" t="str">
        <f>"503"</f>
        <v>503</v>
      </c>
      <c r="K88" t="s">
        <v>18</v>
      </c>
      <c r="L88" t="s">
        <v>18</v>
      </c>
      <c r="M88" t="s">
        <v>18</v>
      </c>
    </row>
    <row r="89" spans="1:13" x14ac:dyDescent="0.25">
      <c r="A89" t="str">
        <f>"00556684"</f>
        <v>00556684</v>
      </c>
      <c r="B89" t="s">
        <v>2293</v>
      </c>
      <c r="C89" t="s">
        <v>415</v>
      </c>
      <c r="D89" t="s">
        <v>80</v>
      </c>
      <c r="E89" t="s">
        <v>16</v>
      </c>
      <c r="F89" t="s">
        <v>34</v>
      </c>
      <c r="G89" t="str">
        <f>"01"</f>
        <v>01</v>
      </c>
      <c r="H89" t="str">
        <f>"3  "</f>
        <v xml:space="preserve">3  </v>
      </c>
      <c r="I89" t="str">
        <f>"2018/01/16"</f>
        <v>2018/01/16</v>
      </c>
      <c r="J89" t="str">
        <f>"110"</f>
        <v>110</v>
      </c>
      <c r="K89" t="str">
        <f>"20290522"</f>
        <v>20290522</v>
      </c>
      <c r="L89" t="s">
        <v>18</v>
      </c>
      <c r="M89" t="str">
        <f>"20151209"</f>
        <v>20151209</v>
      </c>
    </row>
    <row r="90" spans="1:13" x14ac:dyDescent="0.25">
      <c r="A90" t="str">
        <f>"00512136"</f>
        <v>00512136</v>
      </c>
      <c r="B90" t="s">
        <v>2294</v>
      </c>
      <c r="C90" t="s">
        <v>2295</v>
      </c>
      <c r="D90" t="s">
        <v>51</v>
      </c>
      <c r="E90" t="s">
        <v>16</v>
      </c>
      <c r="F90" t="s">
        <v>34</v>
      </c>
      <c r="G90" t="str">
        <f>"01"</f>
        <v>01</v>
      </c>
      <c r="H90" t="str">
        <f>"3  "</f>
        <v xml:space="preserve">3  </v>
      </c>
      <c r="I90" t="str">
        <f>"2013/04/22"</f>
        <v>2013/04/22</v>
      </c>
      <c r="J90" t="str">
        <f>"110"</f>
        <v>110</v>
      </c>
      <c r="K90" t="str">
        <f>"20270715"</f>
        <v>20270715</v>
      </c>
      <c r="L90" t="s">
        <v>18</v>
      </c>
      <c r="M90" t="str">
        <f>"20120806"</f>
        <v>20120806</v>
      </c>
    </row>
    <row r="91" spans="1:13" x14ac:dyDescent="0.25">
      <c r="A91" t="str">
        <f>"00790051"</f>
        <v>00790051</v>
      </c>
      <c r="B91" t="s">
        <v>2327</v>
      </c>
      <c r="C91" t="s">
        <v>2328</v>
      </c>
      <c r="D91" t="s">
        <v>51</v>
      </c>
      <c r="E91" t="s">
        <v>26</v>
      </c>
      <c r="F91" t="s">
        <v>34</v>
      </c>
      <c r="G91" t="str">
        <f>"01"</f>
        <v>01</v>
      </c>
      <c r="H91" t="str">
        <f>"1  "</f>
        <v xml:space="preserve">1  </v>
      </c>
      <c r="I91" t="str">
        <f>"2020/09/20"</f>
        <v>2020/09/20</v>
      </c>
      <c r="J91" t="str">
        <f>"110"</f>
        <v>110</v>
      </c>
      <c r="K91" t="str">
        <f>"20210727"</f>
        <v>20210727</v>
      </c>
      <c r="L91" t="s">
        <v>18</v>
      </c>
      <c r="M91" t="str">
        <f>"20200920"</f>
        <v>20200920</v>
      </c>
    </row>
    <row r="92" spans="1:13" x14ac:dyDescent="0.25">
      <c r="A92" t="str">
        <f>"00607606"</f>
        <v>00607606</v>
      </c>
      <c r="B92" t="s">
        <v>2329</v>
      </c>
      <c r="C92" t="s">
        <v>1835</v>
      </c>
      <c r="D92" t="s">
        <v>61</v>
      </c>
      <c r="E92" t="s">
        <v>16</v>
      </c>
      <c r="F92" t="s">
        <v>34</v>
      </c>
      <c r="G92" t="str">
        <f>"01"</f>
        <v>01</v>
      </c>
      <c r="H92" t="str">
        <f>"0  "</f>
        <v xml:space="preserve">0  </v>
      </c>
      <c r="I92" t="str">
        <f>"2020/09/06"</f>
        <v>2020/09/06</v>
      </c>
      <c r="J92" t="str">
        <f>"420"</f>
        <v>420</v>
      </c>
      <c r="K92" t="s">
        <v>18</v>
      </c>
      <c r="L92" t="s">
        <v>18</v>
      </c>
      <c r="M92" t="s">
        <v>18</v>
      </c>
    </row>
    <row r="93" spans="1:13" x14ac:dyDescent="0.25">
      <c r="A93" t="str">
        <f>"00399550"</f>
        <v>00399550</v>
      </c>
      <c r="B93" t="s">
        <v>2358</v>
      </c>
      <c r="C93" t="s">
        <v>2359</v>
      </c>
      <c r="D93" t="s">
        <v>37</v>
      </c>
      <c r="E93" t="s">
        <v>26</v>
      </c>
      <c r="F93" t="s">
        <v>34</v>
      </c>
      <c r="G93" t="str">
        <f>"01"</f>
        <v>01</v>
      </c>
      <c r="H93" t="str">
        <f>"3  "</f>
        <v xml:space="preserve">3  </v>
      </c>
      <c r="I93" t="str">
        <f>"2015/12/18"</f>
        <v>2015/12/18</v>
      </c>
      <c r="J93" t="str">
        <f>"110"</f>
        <v>110</v>
      </c>
      <c r="K93" t="str">
        <f>"20201225"</f>
        <v>20201225</v>
      </c>
      <c r="L93" t="s">
        <v>18</v>
      </c>
      <c r="M93" t="str">
        <f>"20150401"</f>
        <v>20150401</v>
      </c>
    </row>
    <row r="94" spans="1:13" x14ac:dyDescent="0.25">
      <c r="A94" t="str">
        <f>"00931049"</f>
        <v>00931049</v>
      </c>
      <c r="B94" t="s">
        <v>2365</v>
      </c>
      <c r="C94" t="s">
        <v>2367</v>
      </c>
      <c r="D94" t="s">
        <v>51</v>
      </c>
      <c r="E94" t="s">
        <v>16</v>
      </c>
      <c r="F94" t="s">
        <v>34</v>
      </c>
      <c r="G94" t="str">
        <f>"01"</f>
        <v>01</v>
      </c>
      <c r="H94" t="str">
        <f>"0  "</f>
        <v xml:space="preserve">0  </v>
      </c>
      <c r="I94" t="str">
        <f>"2020/08/19"</f>
        <v>2020/08/19</v>
      </c>
      <c r="J94" t="str">
        <f>"503"</f>
        <v>503</v>
      </c>
      <c r="K94" t="s">
        <v>18</v>
      </c>
      <c r="L94" t="s">
        <v>18</v>
      </c>
      <c r="M94" t="s">
        <v>18</v>
      </c>
    </row>
    <row r="95" spans="1:13" x14ac:dyDescent="0.25">
      <c r="A95" t="str">
        <f>"00617995"</f>
        <v>00617995</v>
      </c>
      <c r="B95" t="s">
        <v>2461</v>
      </c>
      <c r="C95" t="s">
        <v>1865</v>
      </c>
      <c r="D95" t="s">
        <v>40</v>
      </c>
      <c r="E95" t="s">
        <v>16</v>
      </c>
      <c r="F95" t="s">
        <v>34</v>
      </c>
      <c r="G95" t="str">
        <f>"01"</f>
        <v>01</v>
      </c>
      <c r="H95" t="str">
        <f>"1  "</f>
        <v xml:space="preserve">1  </v>
      </c>
      <c r="I95" t="str">
        <f>"2020/08/22"</f>
        <v>2020/08/22</v>
      </c>
      <c r="J95" t="str">
        <f>"120"</f>
        <v>120</v>
      </c>
      <c r="K95" t="str">
        <f>"20201104"</f>
        <v>20201104</v>
      </c>
      <c r="L95" t="s">
        <v>18</v>
      </c>
      <c r="M95" t="str">
        <f>"20200813"</f>
        <v>20200813</v>
      </c>
    </row>
    <row r="96" spans="1:13" x14ac:dyDescent="0.25">
      <c r="A96" t="str">
        <f>"00459255"</f>
        <v>00459255</v>
      </c>
      <c r="B96" t="s">
        <v>2465</v>
      </c>
      <c r="C96" t="s">
        <v>2467</v>
      </c>
      <c r="D96" t="s">
        <v>97</v>
      </c>
      <c r="E96" t="s">
        <v>26</v>
      </c>
      <c r="F96" t="s">
        <v>34</v>
      </c>
      <c r="G96" t="str">
        <f>"01"</f>
        <v>01</v>
      </c>
      <c r="H96" t="str">
        <f>"3  "</f>
        <v xml:space="preserve">3  </v>
      </c>
      <c r="I96" t="str">
        <f>"2018/02/20"</f>
        <v>2018/02/20</v>
      </c>
      <c r="J96" t="str">
        <f>"110"</f>
        <v>110</v>
      </c>
      <c r="K96" t="str">
        <f>"20210721"</f>
        <v>20210721</v>
      </c>
      <c r="L96" t="s">
        <v>18</v>
      </c>
      <c r="M96" t="str">
        <f>"20170401"</f>
        <v>20170401</v>
      </c>
    </row>
    <row r="97" spans="1:13" x14ac:dyDescent="0.25">
      <c r="A97" t="str">
        <f>"00490996"</f>
        <v>00490996</v>
      </c>
      <c r="B97" t="s">
        <v>2465</v>
      </c>
      <c r="C97" t="s">
        <v>976</v>
      </c>
      <c r="D97" t="s">
        <v>15</v>
      </c>
      <c r="E97" t="s">
        <v>16</v>
      </c>
      <c r="F97" t="s">
        <v>34</v>
      </c>
      <c r="G97" t="str">
        <f>"01"</f>
        <v>01</v>
      </c>
      <c r="H97" t="str">
        <f>"3  "</f>
        <v xml:space="preserve">3  </v>
      </c>
      <c r="I97" t="str">
        <f>"2020/08/10"</f>
        <v>2020/08/10</v>
      </c>
      <c r="J97" t="str">
        <f>"120"</f>
        <v>120</v>
      </c>
      <c r="K97" t="str">
        <f>"20230319"</f>
        <v>20230319</v>
      </c>
      <c r="L97" t="s">
        <v>18</v>
      </c>
      <c r="M97" t="str">
        <f>"20200721"</f>
        <v>20200721</v>
      </c>
    </row>
    <row r="98" spans="1:13" x14ac:dyDescent="0.25">
      <c r="A98" t="str">
        <f>"00839901"</f>
        <v>00839901</v>
      </c>
      <c r="B98" t="s">
        <v>2482</v>
      </c>
      <c r="C98" t="s">
        <v>2483</v>
      </c>
      <c r="D98" t="s">
        <v>25</v>
      </c>
      <c r="E98" t="s">
        <v>16</v>
      </c>
      <c r="F98" t="s">
        <v>34</v>
      </c>
      <c r="G98" t="str">
        <f>"01"</f>
        <v>01</v>
      </c>
      <c r="H98" t="str">
        <f>"0  "</f>
        <v xml:space="preserve">0  </v>
      </c>
      <c r="I98" t="str">
        <f>"2020/09/08"</f>
        <v>2020/09/08</v>
      </c>
      <c r="J98" t="str">
        <f>"420"</f>
        <v>420</v>
      </c>
      <c r="K98" t="s">
        <v>18</v>
      </c>
      <c r="L98" t="s">
        <v>18</v>
      </c>
      <c r="M98" t="s">
        <v>18</v>
      </c>
    </row>
    <row r="99" spans="1:13" x14ac:dyDescent="0.25">
      <c r="A99" t="str">
        <f>"00548268"</f>
        <v>00548268</v>
      </c>
      <c r="B99" t="s">
        <v>2485</v>
      </c>
      <c r="C99" t="s">
        <v>116</v>
      </c>
      <c r="D99" t="s">
        <v>25</v>
      </c>
      <c r="E99" t="s">
        <v>26</v>
      </c>
      <c r="F99" t="s">
        <v>34</v>
      </c>
      <c r="G99" t="str">
        <f>"01"</f>
        <v>01</v>
      </c>
      <c r="H99" t="str">
        <f>"0  "</f>
        <v xml:space="preserve">0  </v>
      </c>
      <c r="I99" t="str">
        <f>"2019/11/12"</f>
        <v>2019/11/12</v>
      </c>
      <c r="J99" t="str">
        <f>"420"</f>
        <v>420</v>
      </c>
      <c r="K99" t="s">
        <v>18</v>
      </c>
      <c r="L99" t="s">
        <v>18</v>
      </c>
      <c r="M99" t="s">
        <v>18</v>
      </c>
    </row>
    <row r="100" spans="1:13" x14ac:dyDescent="0.25">
      <c r="A100" t="str">
        <f>"00738257"</f>
        <v>00738257</v>
      </c>
      <c r="B100" t="s">
        <v>2545</v>
      </c>
      <c r="C100" t="s">
        <v>2547</v>
      </c>
      <c r="D100" t="s">
        <v>25</v>
      </c>
      <c r="E100" t="s">
        <v>26</v>
      </c>
      <c r="F100" t="s">
        <v>34</v>
      </c>
      <c r="G100" t="str">
        <f>"01"</f>
        <v>01</v>
      </c>
      <c r="H100" t="str">
        <f>"3  "</f>
        <v xml:space="preserve">3  </v>
      </c>
      <c r="I100" t="str">
        <f>"2019/03/07"</f>
        <v>2019/03/07</v>
      </c>
      <c r="J100" t="str">
        <f>"533"</f>
        <v>533</v>
      </c>
      <c r="K100" t="str">
        <f>"20220116"</f>
        <v>20220116</v>
      </c>
      <c r="L100" t="s">
        <v>18</v>
      </c>
      <c r="M100" t="str">
        <f>"20130319"</f>
        <v>20130319</v>
      </c>
    </row>
    <row r="101" spans="1:13" x14ac:dyDescent="0.25">
      <c r="A101" t="str">
        <f>"00292883"</f>
        <v>00292883</v>
      </c>
      <c r="B101" t="s">
        <v>2568</v>
      </c>
      <c r="C101" t="s">
        <v>2569</v>
      </c>
      <c r="D101" t="s">
        <v>21</v>
      </c>
      <c r="E101" t="s">
        <v>16</v>
      </c>
      <c r="F101" t="s">
        <v>34</v>
      </c>
      <c r="G101" t="str">
        <f>"01"</f>
        <v>01</v>
      </c>
      <c r="H101" t="str">
        <f>"1  "</f>
        <v xml:space="preserve">1  </v>
      </c>
      <c r="I101" t="str">
        <f>"2020/09/05"</f>
        <v>2020/09/05</v>
      </c>
      <c r="J101" t="str">
        <f>"120"</f>
        <v>120</v>
      </c>
      <c r="K101" t="str">
        <f>"20201015"</f>
        <v>20201015</v>
      </c>
      <c r="L101" t="s">
        <v>18</v>
      </c>
      <c r="M101" t="str">
        <f>"20200724"</f>
        <v>20200724</v>
      </c>
    </row>
    <row r="102" spans="1:13" x14ac:dyDescent="0.25">
      <c r="A102" t="str">
        <f>"00363990"</f>
        <v>00363990</v>
      </c>
      <c r="B102" t="s">
        <v>2607</v>
      </c>
      <c r="C102" t="s">
        <v>2608</v>
      </c>
      <c r="D102" t="s">
        <v>25</v>
      </c>
      <c r="E102" t="s">
        <v>16</v>
      </c>
      <c r="F102" t="s">
        <v>34</v>
      </c>
      <c r="G102" t="str">
        <f>"01"</f>
        <v>01</v>
      </c>
      <c r="H102" t="str">
        <f>"0  "</f>
        <v xml:space="preserve">0  </v>
      </c>
      <c r="I102" t="str">
        <f>"2020/07/26"</f>
        <v>2020/07/26</v>
      </c>
      <c r="J102" t="str">
        <f>"420"</f>
        <v>420</v>
      </c>
      <c r="K102" t="s">
        <v>18</v>
      </c>
      <c r="L102" t="s">
        <v>18</v>
      </c>
      <c r="M102" t="s">
        <v>18</v>
      </c>
    </row>
    <row r="103" spans="1:13" x14ac:dyDescent="0.25">
      <c r="A103" t="str">
        <f>"00846022"</f>
        <v>00846022</v>
      </c>
      <c r="B103" t="s">
        <v>2644</v>
      </c>
      <c r="C103" t="s">
        <v>2645</v>
      </c>
      <c r="D103" t="s">
        <v>40</v>
      </c>
      <c r="E103" t="s">
        <v>26</v>
      </c>
      <c r="F103" t="s">
        <v>34</v>
      </c>
      <c r="G103" t="str">
        <f>"01"</f>
        <v>01</v>
      </c>
      <c r="H103" t="str">
        <f>"3  "</f>
        <v xml:space="preserve">3  </v>
      </c>
      <c r="I103" t="str">
        <f>"2017/10/17"</f>
        <v>2017/10/17</v>
      </c>
      <c r="J103" t="str">
        <f>"110"</f>
        <v>110</v>
      </c>
      <c r="K103" t="str">
        <f>"20220103"</f>
        <v>20220103</v>
      </c>
      <c r="L103" t="s">
        <v>18</v>
      </c>
      <c r="M103" t="str">
        <f>"20171014"</f>
        <v>20171014</v>
      </c>
    </row>
    <row r="104" spans="1:13" x14ac:dyDescent="0.25">
      <c r="A104" t="str">
        <f>"00301808"</f>
        <v>00301808</v>
      </c>
      <c r="B104" t="s">
        <v>2651</v>
      </c>
      <c r="C104" t="s">
        <v>2652</v>
      </c>
      <c r="D104" t="s">
        <v>215</v>
      </c>
      <c r="E104" t="s">
        <v>26</v>
      </c>
      <c r="F104" t="s">
        <v>34</v>
      </c>
      <c r="G104" t="str">
        <f>"01"</f>
        <v>01</v>
      </c>
      <c r="H104" t="str">
        <f>"1  "</f>
        <v xml:space="preserve">1  </v>
      </c>
      <c r="I104" t="str">
        <f>"2020/09/04"</f>
        <v>2020/09/04</v>
      </c>
      <c r="J104" t="str">
        <f>"120"</f>
        <v>120</v>
      </c>
      <c r="K104" t="str">
        <f>"20201126"</f>
        <v>20201126</v>
      </c>
      <c r="L104" t="s">
        <v>18</v>
      </c>
      <c r="M104" t="str">
        <f>"20200904"</f>
        <v>20200904</v>
      </c>
    </row>
    <row r="105" spans="1:13" x14ac:dyDescent="0.25">
      <c r="A105" t="str">
        <f>"00227712"</f>
        <v>00227712</v>
      </c>
      <c r="B105" t="s">
        <v>2651</v>
      </c>
      <c r="C105" t="s">
        <v>2093</v>
      </c>
      <c r="D105" t="s">
        <v>15</v>
      </c>
      <c r="E105" t="s">
        <v>16</v>
      </c>
      <c r="F105" t="s">
        <v>34</v>
      </c>
      <c r="G105" t="str">
        <f>"01"</f>
        <v>01</v>
      </c>
      <c r="H105" t="str">
        <f>"3  "</f>
        <v xml:space="preserve">3  </v>
      </c>
      <c r="I105" t="str">
        <f>"2019/12/09"</f>
        <v>2019/12/09</v>
      </c>
      <c r="J105" t="str">
        <f>"110"</f>
        <v>110</v>
      </c>
      <c r="K105" t="str">
        <f>"20210220"</f>
        <v>20210220</v>
      </c>
      <c r="L105" t="s">
        <v>18</v>
      </c>
      <c r="M105" t="str">
        <f>"20191031"</f>
        <v>20191031</v>
      </c>
    </row>
    <row r="106" spans="1:13" x14ac:dyDescent="0.25">
      <c r="A106" t="str">
        <f>"00451394"</f>
        <v>00451394</v>
      </c>
      <c r="B106" t="s">
        <v>2651</v>
      </c>
      <c r="C106" t="s">
        <v>2656</v>
      </c>
      <c r="D106" t="s">
        <v>40</v>
      </c>
      <c r="E106" t="s">
        <v>16</v>
      </c>
      <c r="F106" t="s">
        <v>34</v>
      </c>
      <c r="G106" t="str">
        <f>"01"</f>
        <v>01</v>
      </c>
      <c r="H106" t="str">
        <f>"3  "</f>
        <v xml:space="preserve">3  </v>
      </c>
      <c r="I106" t="str">
        <f>"2020/08/26"</f>
        <v>2020/08/26</v>
      </c>
      <c r="J106" t="str">
        <f>"120"</f>
        <v>120</v>
      </c>
      <c r="K106" t="str">
        <f>"20230219"</f>
        <v>20230219</v>
      </c>
      <c r="L106" t="s">
        <v>18</v>
      </c>
      <c r="M106" t="str">
        <f>"20200819"</f>
        <v>20200819</v>
      </c>
    </row>
    <row r="107" spans="1:13" x14ac:dyDescent="0.25">
      <c r="A107" t="str">
        <f>"00322816"</f>
        <v>00322816</v>
      </c>
      <c r="B107" t="s">
        <v>2659</v>
      </c>
      <c r="C107" t="s">
        <v>2665</v>
      </c>
      <c r="D107" t="s">
        <v>15</v>
      </c>
      <c r="E107" t="s">
        <v>26</v>
      </c>
      <c r="F107" t="s">
        <v>34</v>
      </c>
      <c r="G107" t="str">
        <f>"01"</f>
        <v>01</v>
      </c>
      <c r="H107" t="str">
        <f>"3  "</f>
        <v xml:space="preserve">3  </v>
      </c>
      <c r="I107" t="str">
        <f>"2016/11/25"</f>
        <v>2016/11/25</v>
      </c>
      <c r="J107" t="str">
        <f>"110"</f>
        <v>110</v>
      </c>
      <c r="K107" t="str">
        <f>"20240507"</f>
        <v>20240507</v>
      </c>
      <c r="L107" t="s">
        <v>18</v>
      </c>
      <c r="M107" t="str">
        <f>"20150108"</f>
        <v>20150108</v>
      </c>
    </row>
    <row r="108" spans="1:13" x14ac:dyDescent="0.25">
      <c r="A108" t="str">
        <f>"00428249"</f>
        <v>00428249</v>
      </c>
      <c r="B108" t="s">
        <v>2712</v>
      </c>
      <c r="C108" t="s">
        <v>2714</v>
      </c>
      <c r="D108" t="s">
        <v>40</v>
      </c>
      <c r="E108" t="s">
        <v>26</v>
      </c>
      <c r="F108" t="s">
        <v>34</v>
      </c>
      <c r="G108" t="str">
        <f>"01"</f>
        <v>01</v>
      </c>
      <c r="H108" t="str">
        <f>"3  "</f>
        <v xml:space="preserve">3  </v>
      </c>
      <c r="I108" t="str">
        <f>"2016/06/14"</f>
        <v>2016/06/14</v>
      </c>
      <c r="J108" t="str">
        <f>"110"</f>
        <v>110</v>
      </c>
      <c r="K108" t="str">
        <f>"20210221"</f>
        <v>20210221</v>
      </c>
      <c r="L108" t="s">
        <v>18</v>
      </c>
      <c r="M108" t="str">
        <f>"20150625"</f>
        <v>20150625</v>
      </c>
    </row>
    <row r="109" spans="1:13" x14ac:dyDescent="0.25">
      <c r="A109" t="str">
        <f>"00698954"</f>
        <v>00698954</v>
      </c>
      <c r="B109" t="s">
        <v>2712</v>
      </c>
      <c r="C109" t="s">
        <v>822</v>
      </c>
      <c r="D109" t="s">
        <v>15</v>
      </c>
      <c r="E109" t="s">
        <v>16</v>
      </c>
      <c r="F109" t="s">
        <v>34</v>
      </c>
      <c r="G109" t="str">
        <f>"01"</f>
        <v>01</v>
      </c>
      <c r="H109" t="str">
        <f>"0  "</f>
        <v xml:space="preserve">0  </v>
      </c>
      <c r="I109" t="str">
        <f>"2020/06/17"</f>
        <v>2020/06/17</v>
      </c>
      <c r="J109" t="str">
        <f>"503"</f>
        <v>503</v>
      </c>
      <c r="K109" t="s">
        <v>18</v>
      </c>
      <c r="L109" t="s">
        <v>18</v>
      </c>
      <c r="M109" t="s">
        <v>18</v>
      </c>
    </row>
    <row r="110" spans="1:13" x14ac:dyDescent="0.25">
      <c r="A110" t="str">
        <f>"00483152"</f>
        <v>00483152</v>
      </c>
      <c r="B110" t="s">
        <v>2725</v>
      </c>
      <c r="C110" t="s">
        <v>2726</v>
      </c>
      <c r="D110" t="s">
        <v>31</v>
      </c>
      <c r="E110" t="s">
        <v>26</v>
      </c>
      <c r="F110" t="s">
        <v>34</v>
      </c>
      <c r="G110" t="str">
        <f>"01"</f>
        <v>01</v>
      </c>
      <c r="H110" t="str">
        <f>"0  "</f>
        <v xml:space="preserve">0  </v>
      </c>
      <c r="I110" t="str">
        <f>"2020/09/17"</f>
        <v>2020/09/17</v>
      </c>
      <c r="J110" t="str">
        <f>"420"</f>
        <v>420</v>
      </c>
      <c r="K110" t="s">
        <v>18</v>
      </c>
      <c r="L110" t="s">
        <v>18</v>
      </c>
      <c r="M110" t="s">
        <v>18</v>
      </c>
    </row>
    <row r="111" spans="1:13" x14ac:dyDescent="0.25">
      <c r="A111" t="str">
        <f>"00257727"</f>
        <v>00257727</v>
      </c>
      <c r="B111" t="s">
        <v>2729</v>
      </c>
      <c r="C111" t="s">
        <v>2730</v>
      </c>
      <c r="D111" t="s">
        <v>40</v>
      </c>
      <c r="E111" t="s">
        <v>16</v>
      </c>
      <c r="F111" t="s">
        <v>34</v>
      </c>
      <c r="G111" t="str">
        <f>"01"</f>
        <v>01</v>
      </c>
      <c r="H111" t="str">
        <f>"3  "</f>
        <v xml:space="preserve">3  </v>
      </c>
      <c r="I111" t="str">
        <f>"2018/08/22"</f>
        <v>2018/08/22</v>
      </c>
      <c r="J111" t="str">
        <f>"110"</f>
        <v>110</v>
      </c>
      <c r="K111" t="str">
        <f>"20360521"</f>
        <v>20360521</v>
      </c>
      <c r="L111" t="s">
        <v>18</v>
      </c>
      <c r="M111" t="str">
        <f>"20160927"</f>
        <v>20160927</v>
      </c>
    </row>
    <row r="112" spans="1:13" x14ac:dyDescent="0.25">
      <c r="A112" t="str">
        <f>"00290011"</f>
        <v>00290011</v>
      </c>
      <c r="B112" t="s">
        <v>2745</v>
      </c>
      <c r="C112" t="s">
        <v>2463</v>
      </c>
      <c r="D112" t="s">
        <v>15</v>
      </c>
      <c r="E112" t="s">
        <v>16</v>
      </c>
      <c r="F112" t="s">
        <v>34</v>
      </c>
      <c r="G112" t="str">
        <f>"01"</f>
        <v>01</v>
      </c>
      <c r="H112" t="str">
        <f>"3  "</f>
        <v xml:space="preserve">3  </v>
      </c>
      <c r="I112" t="str">
        <f>"2020/09/02"</f>
        <v>2020/09/02</v>
      </c>
      <c r="J112" t="str">
        <f>"110"</f>
        <v>110</v>
      </c>
      <c r="K112" t="str">
        <f>"20211223"</f>
        <v>20211223</v>
      </c>
      <c r="L112" t="s">
        <v>18</v>
      </c>
      <c r="M112" t="str">
        <f>"20200804"</f>
        <v>20200804</v>
      </c>
    </row>
    <row r="113" spans="1:13" x14ac:dyDescent="0.25">
      <c r="A113" t="str">
        <f>"00895551"</f>
        <v>00895551</v>
      </c>
      <c r="B113" t="s">
        <v>2859</v>
      </c>
      <c r="C113" t="s">
        <v>1340</v>
      </c>
      <c r="D113" t="s">
        <v>25</v>
      </c>
      <c r="E113" t="s">
        <v>16</v>
      </c>
      <c r="F113" t="s">
        <v>34</v>
      </c>
      <c r="G113" t="str">
        <f>"01"</f>
        <v>01</v>
      </c>
      <c r="H113" t="str">
        <f>"0  "</f>
        <v xml:space="preserve">0  </v>
      </c>
      <c r="I113" t="str">
        <f>"2020/09/05"</f>
        <v>2020/09/05</v>
      </c>
      <c r="J113" t="str">
        <f>"503"</f>
        <v>503</v>
      </c>
      <c r="K113" t="s">
        <v>18</v>
      </c>
      <c r="L113" t="s">
        <v>18</v>
      </c>
      <c r="M113" t="s">
        <v>18</v>
      </c>
    </row>
    <row r="114" spans="1:13" x14ac:dyDescent="0.25">
      <c r="A114" t="str">
        <f>"00435233"</f>
        <v>00435233</v>
      </c>
      <c r="B114" t="s">
        <v>2880</v>
      </c>
      <c r="C114" t="s">
        <v>2270</v>
      </c>
      <c r="D114" t="s">
        <v>51</v>
      </c>
      <c r="E114" t="s">
        <v>16</v>
      </c>
      <c r="F114" t="s">
        <v>34</v>
      </c>
      <c r="G114" t="str">
        <f>"01"</f>
        <v>01</v>
      </c>
      <c r="H114" t="str">
        <f>"3  "</f>
        <v xml:space="preserve">3  </v>
      </c>
      <c r="I114" t="str">
        <f>"2016/01/08"</f>
        <v>2016/01/08</v>
      </c>
      <c r="J114" t="str">
        <f>"110"</f>
        <v>110</v>
      </c>
      <c r="K114" t="str">
        <f>"20230503"</f>
        <v>20230503</v>
      </c>
      <c r="L114" t="s">
        <v>18</v>
      </c>
      <c r="M114" t="str">
        <f>"20150120"</f>
        <v>20150120</v>
      </c>
    </row>
    <row r="115" spans="1:13" x14ac:dyDescent="0.25">
      <c r="A115" t="str">
        <f>"00801822"</f>
        <v>00801822</v>
      </c>
      <c r="B115" t="s">
        <v>2884</v>
      </c>
      <c r="C115" t="s">
        <v>479</v>
      </c>
      <c r="D115" t="s">
        <v>61</v>
      </c>
      <c r="E115" t="s">
        <v>16</v>
      </c>
      <c r="F115" t="s">
        <v>34</v>
      </c>
      <c r="G115" t="str">
        <f>"01"</f>
        <v>01</v>
      </c>
      <c r="H115" t="str">
        <f>"3  "</f>
        <v xml:space="preserve">3  </v>
      </c>
      <c r="I115" t="str">
        <f>"2019/10/25"</f>
        <v>2019/10/25</v>
      </c>
      <c r="J115" t="str">
        <f>"110"</f>
        <v>110</v>
      </c>
      <c r="K115" t="str">
        <f>"20300202"</f>
        <v>20300202</v>
      </c>
      <c r="L115" t="s">
        <v>18</v>
      </c>
      <c r="M115" t="str">
        <f>"20190118"</f>
        <v>20190118</v>
      </c>
    </row>
    <row r="116" spans="1:13" x14ac:dyDescent="0.25">
      <c r="A116" t="str">
        <f>"00775128"</f>
        <v>00775128</v>
      </c>
      <c r="B116" t="s">
        <v>2889</v>
      </c>
      <c r="C116" t="s">
        <v>2890</v>
      </c>
      <c r="D116" t="s">
        <v>25</v>
      </c>
      <c r="E116" t="s">
        <v>26</v>
      </c>
      <c r="F116" t="s">
        <v>34</v>
      </c>
      <c r="G116" t="str">
        <f>"01"</f>
        <v>01</v>
      </c>
      <c r="H116" t="str">
        <f>"0  "</f>
        <v xml:space="preserve">0  </v>
      </c>
      <c r="I116" t="str">
        <f>"2020/09/09"</f>
        <v>2020/09/09</v>
      </c>
      <c r="J116" t="str">
        <f>"420"</f>
        <v>420</v>
      </c>
      <c r="K116" t="s">
        <v>18</v>
      </c>
      <c r="L116" t="s">
        <v>18</v>
      </c>
      <c r="M116" t="s">
        <v>18</v>
      </c>
    </row>
    <row r="117" spans="1:13" x14ac:dyDescent="0.25">
      <c r="A117" t="str">
        <f>"00502482"</f>
        <v>00502482</v>
      </c>
      <c r="B117" t="s">
        <v>2895</v>
      </c>
      <c r="C117" t="s">
        <v>2896</v>
      </c>
      <c r="D117" t="s">
        <v>51</v>
      </c>
      <c r="E117" t="s">
        <v>16</v>
      </c>
      <c r="F117" t="s">
        <v>34</v>
      </c>
      <c r="G117" t="str">
        <f>"01"</f>
        <v>01</v>
      </c>
      <c r="H117" t="str">
        <f>"3  "</f>
        <v xml:space="preserve">3  </v>
      </c>
      <c r="I117" t="str">
        <f>"2008/12/01"</f>
        <v>2008/12/01</v>
      </c>
      <c r="J117" t="str">
        <f>"531"</f>
        <v>531</v>
      </c>
      <c r="K117" t="str">
        <f>"20220228"</f>
        <v>20220228</v>
      </c>
      <c r="L117" t="s">
        <v>18</v>
      </c>
      <c r="M117" t="str">
        <f>"20040902"</f>
        <v>20040902</v>
      </c>
    </row>
    <row r="118" spans="1:13" x14ac:dyDescent="0.25">
      <c r="A118" t="str">
        <f>"00290173"</f>
        <v>00290173</v>
      </c>
      <c r="B118" t="s">
        <v>2924</v>
      </c>
      <c r="C118" t="s">
        <v>2384</v>
      </c>
      <c r="D118" t="s">
        <v>51</v>
      </c>
      <c r="E118" t="s">
        <v>16</v>
      </c>
      <c r="F118" t="s">
        <v>34</v>
      </c>
      <c r="G118" t="str">
        <f>"01"</f>
        <v>01</v>
      </c>
      <c r="H118" t="str">
        <f>"3  "</f>
        <v xml:space="preserve">3  </v>
      </c>
      <c r="I118" t="str">
        <f>"2020/02/26"</f>
        <v>2020/02/26</v>
      </c>
      <c r="J118" t="str">
        <f>"120"</f>
        <v>120</v>
      </c>
      <c r="K118" t="str">
        <f>"20221002"</f>
        <v>20221002</v>
      </c>
      <c r="L118" t="s">
        <v>18</v>
      </c>
      <c r="M118" t="str">
        <f>"20200204"</f>
        <v>20200204</v>
      </c>
    </row>
    <row r="119" spans="1:13" x14ac:dyDescent="0.25">
      <c r="A119" t="str">
        <f>"00680697"</f>
        <v>00680697</v>
      </c>
      <c r="B119" t="s">
        <v>2925</v>
      </c>
      <c r="C119" t="s">
        <v>2926</v>
      </c>
      <c r="D119" t="s">
        <v>47</v>
      </c>
      <c r="E119" t="s">
        <v>16</v>
      </c>
      <c r="F119" t="s">
        <v>34</v>
      </c>
      <c r="G119" t="str">
        <f>"01"</f>
        <v>01</v>
      </c>
      <c r="H119" t="str">
        <f>"3  "</f>
        <v xml:space="preserve">3  </v>
      </c>
      <c r="I119" t="str">
        <f>"2015/04/30"</f>
        <v>2015/04/30</v>
      </c>
      <c r="J119" t="str">
        <f>"110"</f>
        <v>110</v>
      </c>
      <c r="K119" t="str">
        <f>"20220123"</f>
        <v>20220123</v>
      </c>
      <c r="L119" t="s">
        <v>18</v>
      </c>
      <c r="M119" t="str">
        <f>"20130319"</f>
        <v>20130319</v>
      </c>
    </row>
    <row r="120" spans="1:13" x14ac:dyDescent="0.25">
      <c r="A120" t="str">
        <f>"00307543"</f>
        <v>00307543</v>
      </c>
      <c r="B120" t="s">
        <v>2949</v>
      </c>
      <c r="C120" t="s">
        <v>2950</v>
      </c>
      <c r="D120" t="s">
        <v>53</v>
      </c>
      <c r="E120" t="s">
        <v>26</v>
      </c>
      <c r="F120" t="s">
        <v>34</v>
      </c>
      <c r="G120" t="str">
        <f>"01"</f>
        <v>01</v>
      </c>
      <c r="H120" t="str">
        <f>"1  "</f>
        <v xml:space="preserve">1  </v>
      </c>
      <c r="I120" t="str">
        <f>"2020/08/27"</f>
        <v>2020/08/27</v>
      </c>
      <c r="J120" t="str">
        <f>"120"</f>
        <v>120</v>
      </c>
      <c r="K120" t="str">
        <f>"20201102"</f>
        <v>20201102</v>
      </c>
      <c r="L120" t="s">
        <v>18</v>
      </c>
      <c r="M120" t="str">
        <f>"20200813"</f>
        <v>20200813</v>
      </c>
    </row>
    <row r="121" spans="1:13" x14ac:dyDescent="0.25">
      <c r="A121" t="str">
        <f>"00164215"</f>
        <v>00164215</v>
      </c>
      <c r="B121" t="s">
        <v>2964</v>
      </c>
      <c r="C121" t="s">
        <v>2965</v>
      </c>
      <c r="D121" t="s">
        <v>15</v>
      </c>
      <c r="E121" t="s">
        <v>16</v>
      </c>
      <c r="F121" t="s">
        <v>34</v>
      </c>
      <c r="G121" t="str">
        <f>"01"</f>
        <v>01</v>
      </c>
      <c r="H121" t="str">
        <f>"3  "</f>
        <v xml:space="preserve">3  </v>
      </c>
      <c r="I121" t="str">
        <f>"2019/11/14"</f>
        <v>2019/11/14</v>
      </c>
      <c r="J121" t="str">
        <f>"503"</f>
        <v>503</v>
      </c>
      <c r="K121" t="str">
        <f>"20230922"</f>
        <v>20230922</v>
      </c>
      <c r="L121" t="s">
        <v>18</v>
      </c>
      <c r="M121" t="str">
        <f>"20191113"</f>
        <v>20191113</v>
      </c>
    </row>
    <row r="122" spans="1:13" x14ac:dyDescent="0.25">
      <c r="A122" t="str">
        <f>"00571813"</f>
        <v>00571813</v>
      </c>
      <c r="B122" t="s">
        <v>2982</v>
      </c>
      <c r="C122" t="s">
        <v>1865</v>
      </c>
      <c r="D122" t="s">
        <v>40</v>
      </c>
      <c r="E122" t="s">
        <v>16</v>
      </c>
      <c r="F122" t="s">
        <v>34</v>
      </c>
      <c r="G122" t="str">
        <f>"01"</f>
        <v>01</v>
      </c>
      <c r="H122" t="str">
        <f>"1  "</f>
        <v xml:space="preserve">1  </v>
      </c>
      <c r="I122" t="str">
        <f>"2020/06/12"</f>
        <v>2020/06/12</v>
      </c>
      <c r="J122" t="str">
        <f>"120"</f>
        <v>120</v>
      </c>
      <c r="K122" t="str">
        <f>"20201126"</f>
        <v>20201126</v>
      </c>
      <c r="L122" t="s">
        <v>18</v>
      </c>
      <c r="M122" t="str">
        <f>"20200610"</f>
        <v>20200610</v>
      </c>
    </row>
    <row r="123" spans="1:13" x14ac:dyDescent="0.25">
      <c r="A123" t="str">
        <f>"00234268"</f>
        <v>00234268</v>
      </c>
      <c r="B123" t="s">
        <v>3019</v>
      </c>
      <c r="C123" t="s">
        <v>76</v>
      </c>
      <c r="D123" t="s">
        <v>61</v>
      </c>
      <c r="E123" t="s">
        <v>16</v>
      </c>
      <c r="F123" t="s">
        <v>34</v>
      </c>
      <c r="G123" t="str">
        <f>"01"</f>
        <v>01</v>
      </c>
      <c r="H123" t="str">
        <f>"3  "</f>
        <v xml:space="preserve">3  </v>
      </c>
      <c r="I123" t="str">
        <f>"2020/01/14"</f>
        <v>2020/01/14</v>
      </c>
      <c r="J123" t="str">
        <f>"110"</f>
        <v>110</v>
      </c>
      <c r="K123" t="str">
        <f>"20210421"</f>
        <v>20210421</v>
      </c>
      <c r="L123" t="s">
        <v>18</v>
      </c>
      <c r="M123" t="str">
        <f>"20200108"</f>
        <v>20200108</v>
      </c>
    </row>
    <row r="124" spans="1:13" x14ac:dyDescent="0.25">
      <c r="A124" t="str">
        <f>"00936499"</f>
        <v>00936499</v>
      </c>
      <c r="B124" t="s">
        <v>3020</v>
      </c>
      <c r="C124" t="s">
        <v>707</v>
      </c>
      <c r="D124" t="s">
        <v>40</v>
      </c>
      <c r="E124" t="s">
        <v>16</v>
      </c>
      <c r="F124" t="s">
        <v>34</v>
      </c>
      <c r="G124" t="str">
        <f>"01"</f>
        <v>01</v>
      </c>
      <c r="H124" t="str">
        <f>"0  "</f>
        <v xml:space="preserve">0  </v>
      </c>
      <c r="I124" t="str">
        <f>"2020/09/07"</f>
        <v>2020/09/07</v>
      </c>
      <c r="J124" t="str">
        <f>"420"</f>
        <v>420</v>
      </c>
      <c r="K124" t="s">
        <v>18</v>
      </c>
      <c r="L124" t="s">
        <v>18</v>
      </c>
      <c r="M124" t="s">
        <v>18</v>
      </c>
    </row>
    <row r="125" spans="1:13" x14ac:dyDescent="0.25">
      <c r="A125" t="str">
        <f>"00541381"</f>
        <v>00541381</v>
      </c>
      <c r="B125" t="s">
        <v>3095</v>
      </c>
      <c r="C125" t="s">
        <v>2384</v>
      </c>
      <c r="D125" t="s">
        <v>215</v>
      </c>
      <c r="E125" t="s">
        <v>16</v>
      </c>
      <c r="F125" t="s">
        <v>34</v>
      </c>
      <c r="G125" t="str">
        <f>"01"</f>
        <v>01</v>
      </c>
      <c r="H125" t="str">
        <f>"0  "</f>
        <v xml:space="preserve">0  </v>
      </c>
      <c r="I125" t="str">
        <f>"2020/09/16"</f>
        <v>2020/09/16</v>
      </c>
      <c r="J125" t="str">
        <f>"420"</f>
        <v>420</v>
      </c>
      <c r="K125" t="s">
        <v>18</v>
      </c>
      <c r="L125" t="s">
        <v>18</v>
      </c>
      <c r="M125" t="s">
        <v>18</v>
      </c>
    </row>
    <row r="126" spans="1:13" x14ac:dyDescent="0.25">
      <c r="A126" t="str">
        <f>"00722866"</f>
        <v>00722866</v>
      </c>
      <c r="B126" t="s">
        <v>3132</v>
      </c>
      <c r="C126" t="s">
        <v>3134</v>
      </c>
      <c r="D126" t="s">
        <v>215</v>
      </c>
      <c r="E126" t="s">
        <v>16</v>
      </c>
      <c r="F126" t="s">
        <v>34</v>
      </c>
      <c r="G126" t="str">
        <f>"01"</f>
        <v>01</v>
      </c>
      <c r="H126" t="str">
        <f>"0  "</f>
        <v xml:space="preserve">0  </v>
      </c>
      <c r="I126" t="str">
        <f>"2020/09/18"</f>
        <v>2020/09/18</v>
      </c>
      <c r="J126" t="str">
        <f>"420"</f>
        <v>420</v>
      </c>
      <c r="K126" t="s">
        <v>18</v>
      </c>
      <c r="L126" t="s">
        <v>18</v>
      </c>
      <c r="M126" t="s">
        <v>18</v>
      </c>
    </row>
    <row r="127" spans="1:13" x14ac:dyDescent="0.25">
      <c r="A127" t="str">
        <f>"00762681"</f>
        <v>00762681</v>
      </c>
      <c r="B127" t="s">
        <v>3137</v>
      </c>
      <c r="C127" t="s">
        <v>929</v>
      </c>
      <c r="D127" t="s">
        <v>15</v>
      </c>
      <c r="E127" t="s">
        <v>16</v>
      </c>
      <c r="F127" t="s">
        <v>34</v>
      </c>
      <c r="G127" t="str">
        <f>"01"</f>
        <v>01</v>
      </c>
      <c r="H127" t="str">
        <f>"0  "</f>
        <v xml:space="preserve">0  </v>
      </c>
      <c r="I127" t="str">
        <f>"2020/06/21"</f>
        <v>2020/06/21</v>
      </c>
      <c r="J127" t="str">
        <f>"420"</f>
        <v>420</v>
      </c>
      <c r="K127" t="s">
        <v>18</v>
      </c>
      <c r="L127" t="s">
        <v>18</v>
      </c>
      <c r="M127" t="s">
        <v>18</v>
      </c>
    </row>
    <row r="128" spans="1:13" x14ac:dyDescent="0.25">
      <c r="A128" t="str">
        <f>"00484114"</f>
        <v>00484114</v>
      </c>
      <c r="B128" t="s">
        <v>3142</v>
      </c>
      <c r="C128" t="s">
        <v>116</v>
      </c>
      <c r="D128" t="s">
        <v>215</v>
      </c>
      <c r="E128" t="s">
        <v>26</v>
      </c>
      <c r="F128" t="s">
        <v>34</v>
      </c>
      <c r="G128" t="str">
        <f>"01"</f>
        <v>01</v>
      </c>
      <c r="H128" t="str">
        <f>"3  "</f>
        <v xml:space="preserve">3  </v>
      </c>
      <c r="I128" t="str">
        <f>"2013/03/11"</f>
        <v>2013/03/11</v>
      </c>
      <c r="J128" t="str">
        <f>"531"</f>
        <v>531</v>
      </c>
      <c r="K128" t="str">
        <f>"20210330"</f>
        <v>20210330</v>
      </c>
      <c r="L128" t="s">
        <v>18</v>
      </c>
      <c r="M128" t="str">
        <f>"20101223"</f>
        <v>20101223</v>
      </c>
    </row>
    <row r="129" spans="1:13" x14ac:dyDescent="0.25">
      <c r="A129" t="str">
        <f>"00459103"</f>
        <v>00459103</v>
      </c>
      <c r="B129" t="s">
        <v>3187</v>
      </c>
      <c r="C129" t="s">
        <v>1316</v>
      </c>
      <c r="D129" t="s">
        <v>25</v>
      </c>
      <c r="E129" t="s">
        <v>16</v>
      </c>
      <c r="F129" t="s">
        <v>34</v>
      </c>
      <c r="G129" t="str">
        <f>"01"</f>
        <v>01</v>
      </c>
      <c r="H129" t="str">
        <f>"0  "</f>
        <v xml:space="preserve">0  </v>
      </c>
      <c r="I129" t="str">
        <f>"2020/09/13"</f>
        <v>2020/09/13</v>
      </c>
      <c r="J129" t="str">
        <f>"420"</f>
        <v>420</v>
      </c>
      <c r="K129" t="s">
        <v>18</v>
      </c>
      <c r="L129" t="s">
        <v>18</v>
      </c>
      <c r="M129" t="s">
        <v>18</v>
      </c>
    </row>
    <row r="130" spans="1:13" x14ac:dyDescent="0.25">
      <c r="A130" t="str">
        <f>"00732493"</f>
        <v>00732493</v>
      </c>
      <c r="B130" t="s">
        <v>3209</v>
      </c>
      <c r="C130" t="s">
        <v>3212</v>
      </c>
      <c r="D130" t="s">
        <v>15</v>
      </c>
      <c r="E130" t="s">
        <v>16</v>
      </c>
      <c r="F130" t="s">
        <v>34</v>
      </c>
      <c r="G130" t="str">
        <f>"01"</f>
        <v>01</v>
      </c>
      <c r="H130" t="str">
        <f>"1  "</f>
        <v xml:space="preserve">1  </v>
      </c>
      <c r="I130" t="str">
        <f>"2020/08/27"</f>
        <v>2020/08/27</v>
      </c>
      <c r="J130" t="str">
        <f>"110"</f>
        <v>110</v>
      </c>
      <c r="K130" t="str">
        <f>"20201117"</f>
        <v>20201117</v>
      </c>
      <c r="L130" t="s">
        <v>18</v>
      </c>
      <c r="M130" t="str">
        <f>"20200826"</f>
        <v>20200826</v>
      </c>
    </row>
    <row r="131" spans="1:13" x14ac:dyDescent="0.25">
      <c r="A131" t="str">
        <f>"00291318"</f>
        <v>00291318</v>
      </c>
      <c r="B131" t="s">
        <v>3267</v>
      </c>
      <c r="C131" t="s">
        <v>3268</v>
      </c>
      <c r="D131" t="s">
        <v>15</v>
      </c>
      <c r="E131" t="s">
        <v>16</v>
      </c>
      <c r="F131" t="s">
        <v>34</v>
      </c>
      <c r="G131" t="str">
        <f>"01"</f>
        <v>01</v>
      </c>
      <c r="H131" t="str">
        <f>"3  "</f>
        <v xml:space="preserve">3  </v>
      </c>
      <c r="I131" t="str">
        <f>"2004/06/14"</f>
        <v>2004/06/14</v>
      </c>
      <c r="J131" t="str">
        <f>"110"</f>
        <v>110</v>
      </c>
      <c r="K131" t="str">
        <f>"20230321"</f>
        <v>20230321</v>
      </c>
      <c r="L131" t="s">
        <v>18</v>
      </c>
      <c r="M131" t="str">
        <f>"20020708"</f>
        <v>20020708</v>
      </c>
    </row>
    <row r="132" spans="1:13" x14ac:dyDescent="0.25">
      <c r="A132" t="str">
        <f>"00751740"</f>
        <v>00751740</v>
      </c>
      <c r="B132" t="s">
        <v>3290</v>
      </c>
      <c r="C132" t="s">
        <v>3291</v>
      </c>
      <c r="D132" t="s">
        <v>53</v>
      </c>
      <c r="E132" t="s">
        <v>16</v>
      </c>
      <c r="F132" t="s">
        <v>34</v>
      </c>
      <c r="G132" t="str">
        <f>"01"</f>
        <v>01</v>
      </c>
      <c r="H132" t="str">
        <f>"0  "</f>
        <v xml:space="preserve">0  </v>
      </c>
      <c r="I132" t="str">
        <f>"2020/09/16"</f>
        <v>2020/09/16</v>
      </c>
      <c r="J132" t="str">
        <f>"420"</f>
        <v>420</v>
      </c>
      <c r="K132" t="s">
        <v>18</v>
      </c>
      <c r="L132" t="s">
        <v>18</v>
      </c>
      <c r="M132" t="s">
        <v>18</v>
      </c>
    </row>
    <row r="133" spans="1:13" x14ac:dyDescent="0.25">
      <c r="A133" t="str">
        <f>"00506199"</f>
        <v>00506199</v>
      </c>
      <c r="B133" t="s">
        <v>3297</v>
      </c>
      <c r="C133" t="s">
        <v>3298</v>
      </c>
      <c r="D133" t="s">
        <v>80</v>
      </c>
      <c r="E133" t="s">
        <v>26</v>
      </c>
      <c r="F133" t="s">
        <v>34</v>
      </c>
      <c r="G133" t="str">
        <f>"01"</f>
        <v>01</v>
      </c>
      <c r="H133" t="str">
        <f>"3  "</f>
        <v xml:space="preserve">3  </v>
      </c>
      <c r="I133" t="str">
        <f>"2013/05/24"</f>
        <v>2013/05/24</v>
      </c>
      <c r="J133" t="str">
        <f>"110"</f>
        <v>110</v>
      </c>
      <c r="K133" t="str">
        <f>"20240109"</f>
        <v>20240109</v>
      </c>
      <c r="L133" t="s">
        <v>18</v>
      </c>
      <c r="M133" t="str">
        <f>"20120712"</f>
        <v>20120712</v>
      </c>
    </row>
    <row r="134" spans="1:13" x14ac:dyDescent="0.25">
      <c r="A134" t="str">
        <f>"00555298"</f>
        <v>00555298</v>
      </c>
      <c r="B134" t="s">
        <v>3297</v>
      </c>
      <c r="C134" t="s">
        <v>2384</v>
      </c>
      <c r="D134" t="s">
        <v>51</v>
      </c>
      <c r="E134" t="s">
        <v>16</v>
      </c>
      <c r="F134" t="s">
        <v>34</v>
      </c>
      <c r="G134" t="str">
        <f>"01"</f>
        <v>01</v>
      </c>
      <c r="H134" t="str">
        <f>"3  "</f>
        <v xml:space="preserve">3  </v>
      </c>
      <c r="I134" t="str">
        <f>"2020/02/10"</f>
        <v>2020/02/10</v>
      </c>
      <c r="J134" t="str">
        <f>"120"</f>
        <v>120</v>
      </c>
      <c r="K134" t="str">
        <f>"20320805"</f>
        <v>20320805</v>
      </c>
      <c r="L134" t="s">
        <v>18</v>
      </c>
      <c r="M134" t="str">
        <f>"20200207"</f>
        <v>20200207</v>
      </c>
    </row>
    <row r="135" spans="1:13" x14ac:dyDescent="0.25">
      <c r="A135" t="str">
        <f>"00563449"</f>
        <v>00563449</v>
      </c>
      <c r="B135" t="s">
        <v>3321</v>
      </c>
      <c r="C135" t="s">
        <v>3322</v>
      </c>
      <c r="D135" t="s">
        <v>26</v>
      </c>
      <c r="E135" t="s">
        <v>26</v>
      </c>
      <c r="F135" t="s">
        <v>34</v>
      </c>
      <c r="G135" t="str">
        <f>"01"</f>
        <v>01</v>
      </c>
      <c r="H135" t="str">
        <f>"3  "</f>
        <v xml:space="preserve">3  </v>
      </c>
      <c r="I135" t="str">
        <f>"2018/07/16"</f>
        <v>2018/07/16</v>
      </c>
      <c r="J135" t="str">
        <f>"110"</f>
        <v>110</v>
      </c>
      <c r="K135" t="str">
        <f>"20350906"</f>
        <v>20350906</v>
      </c>
      <c r="L135" t="s">
        <v>18</v>
      </c>
      <c r="M135" t="str">
        <f>"20171029"</f>
        <v>20171029</v>
      </c>
    </row>
    <row r="136" spans="1:13" x14ac:dyDescent="0.25">
      <c r="A136" t="str">
        <f>"00498859"</f>
        <v>00498859</v>
      </c>
      <c r="B136" t="s">
        <v>3395</v>
      </c>
      <c r="C136" t="s">
        <v>3396</v>
      </c>
      <c r="D136" t="s">
        <v>31</v>
      </c>
      <c r="E136" t="s">
        <v>26</v>
      </c>
      <c r="F136" t="s">
        <v>34</v>
      </c>
      <c r="G136" t="str">
        <f>"01"</f>
        <v>01</v>
      </c>
      <c r="H136" t="str">
        <f>"3  "</f>
        <v xml:space="preserve">3  </v>
      </c>
      <c r="I136" t="str">
        <f>"2013/09/11"</f>
        <v>2013/09/11</v>
      </c>
      <c r="J136" t="str">
        <f>"120"</f>
        <v>120</v>
      </c>
      <c r="K136" t="str">
        <f>"20240320"</f>
        <v>20240320</v>
      </c>
      <c r="L136" t="s">
        <v>18</v>
      </c>
      <c r="M136" t="str">
        <f>"20130426"</f>
        <v>20130426</v>
      </c>
    </row>
    <row r="137" spans="1:13" x14ac:dyDescent="0.25">
      <c r="A137" t="str">
        <f>"00295574"</f>
        <v>00295574</v>
      </c>
      <c r="B137" t="s">
        <v>3403</v>
      </c>
      <c r="C137" t="s">
        <v>1865</v>
      </c>
      <c r="D137" t="s">
        <v>51</v>
      </c>
      <c r="E137" t="s">
        <v>16</v>
      </c>
      <c r="F137" t="s">
        <v>34</v>
      </c>
      <c r="G137" t="str">
        <f>"01"</f>
        <v>01</v>
      </c>
      <c r="H137" t="str">
        <f>"0  "</f>
        <v xml:space="preserve">0  </v>
      </c>
      <c r="I137" t="str">
        <f>"2020/09/20"</f>
        <v>2020/09/20</v>
      </c>
      <c r="J137" t="str">
        <f>"503"</f>
        <v>503</v>
      </c>
      <c r="K137" t="s">
        <v>18</v>
      </c>
      <c r="L137" t="s">
        <v>18</v>
      </c>
      <c r="M137" t="s">
        <v>18</v>
      </c>
    </row>
    <row r="138" spans="1:13" x14ac:dyDescent="0.25">
      <c r="A138" t="str">
        <f>"00572324"</f>
        <v>00572324</v>
      </c>
      <c r="B138" t="s">
        <v>3428</v>
      </c>
      <c r="C138" t="s">
        <v>3430</v>
      </c>
      <c r="D138" t="s">
        <v>25</v>
      </c>
      <c r="E138" t="s">
        <v>16</v>
      </c>
      <c r="F138" t="s">
        <v>34</v>
      </c>
      <c r="G138" t="str">
        <f>"01"</f>
        <v>01</v>
      </c>
      <c r="H138" t="str">
        <f>"3  "</f>
        <v xml:space="preserve">3  </v>
      </c>
      <c r="I138" t="str">
        <f>"2019/04/15"</f>
        <v>2019/04/15</v>
      </c>
      <c r="J138" t="str">
        <f>"110"</f>
        <v>110</v>
      </c>
      <c r="K138" t="str">
        <f>"20211106"</f>
        <v>20211106</v>
      </c>
      <c r="L138" t="s">
        <v>18</v>
      </c>
      <c r="M138" t="str">
        <f>"20190325"</f>
        <v>20190325</v>
      </c>
    </row>
    <row r="139" spans="1:13" x14ac:dyDescent="0.25">
      <c r="A139" t="str">
        <f>"00692541"</f>
        <v>00692541</v>
      </c>
      <c r="B139" t="s">
        <v>3450</v>
      </c>
      <c r="C139" t="s">
        <v>3452</v>
      </c>
      <c r="D139" t="s">
        <v>45</v>
      </c>
      <c r="E139" t="s">
        <v>26</v>
      </c>
      <c r="F139" t="s">
        <v>34</v>
      </c>
      <c r="G139" t="str">
        <f>"01"</f>
        <v>01</v>
      </c>
      <c r="H139" t="str">
        <f>"3  "</f>
        <v xml:space="preserve">3  </v>
      </c>
      <c r="I139" t="str">
        <f>"2019/10/22"</f>
        <v>2019/10/22</v>
      </c>
      <c r="J139" t="str">
        <f>"120"</f>
        <v>120</v>
      </c>
      <c r="K139" t="str">
        <f>"20230925"</f>
        <v>20230925</v>
      </c>
      <c r="L139" t="s">
        <v>18</v>
      </c>
      <c r="M139" t="str">
        <f>"20191003"</f>
        <v>20191003</v>
      </c>
    </row>
    <row r="140" spans="1:13" x14ac:dyDescent="0.25">
      <c r="A140" t="str">
        <f>"00298563"</f>
        <v>00298563</v>
      </c>
      <c r="B140" t="s">
        <v>3450</v>
      </c>
      <c r="C140" t="s">
        <v>3460</v>
      </c>
      <c r="D140" t="s">
        <v>40</v>
      </c>
      <c r="E140" t="s">
        <v>26</v>
      </c>
      <c r="F140" t="s">
        <v>34</v>
      </c>
      <c r="G140" t="str">
        <f>"01"</f>
        <v>01</v>
      </c>
      <c r="H140" t="str">
        <f>"3  "</f>
        <v xml:space="preserve">3  </v>
      </c>
      <c r="I140" t="str">
        <f>"2014/09/30"</f>
        <v>2014/09/30</v>
      </c>
      <c r="J140" t="str">
        <f>"110"</f>
        <v>110</v>
      </c>
      <c r="K140" t="str">
        <f>"20330807"</f>
        <v>20330807</v>
      </c>
      <c r="L140" t="s">
        <v>18</v>
      </c>
      <c r="M140" t="str">
        <f>"20140417"</f>
        <v>20140417</v>
      </c>
    </row>
    <row r="141" spans="1:13" x14ac:dyDescent="0.25">
      <c r="A141" t="str">
        <f>"00414084"</f>
        <v>00414084</v>
      </c>
      <c r="B141" t="s">
        <v>3450</v>
      </c>
      <c r="C141" t="s">
        <v>3461</v>
      </c>
      <c r="D141" t="s">
        <v>53</v>
      </c>
      <c r="E141" t="s">
        <v>26</v>
      </c>
      <c r="F141" t="s">
        <v>34</v>
      </c>
      <c r="G141" t="str">
        <f>"01"</f>
        <v>01</v>
      </c>
      <c r="H141" t="str">
        <f>"7  "</f>
        <v xml:space="preserve">7  </v>
      </c>
      <c r="I141" t="str">
        <f>"2008/12/05"</f>
        <v>2008/12/05</v>
      </c>
      <c r="J141" t="str">
        <f>"110"</f>
        <v>110</v>
      </c>
      <c r="K141" t="s">
        <v>18</v>
      </c>
      <c r="L141" t="s">
        <v>18</v>
      </c>
      <c r="M141" t="str">
        <f>"20070729"</f>
        <v>20070729</v>
      </c>
    </row>
    <row r="142" spans="1:13" x14ac:dyDescent="0.25">
      <c r="A142" t="str">
        <f>"00158081"</f>
        <v>00158081</v>
      </c>
      <c r="B142" t="s">
        <v>3450</v>
      </c>
      <c r="C142" t="s">
        <v>3462</v>
      </c>
      <c r="D142" t="s">
        <v>25</v>
      </c>
      <c r="E142" t="s">
        <v>16</v>
      </c>
      <c r="F142" t="s">
        <v>34</v>
      </c>
      <c r="G142" t="str">
        <f>"01"</f>
        <v>01</v>
      </c>
      <c r="H142" t="str">
        <f>"3  "</f>
        <v xml:space="preserve">3  </v>
      </c>
      <c r="I142" t="str">
        <f>"2002/07/05"</f>
        <v>2002/07/05</v>
      </c>
      <c r="J142" t="str">
        <f>"532"</f>
        <v>532</v>
      </c>
      <c r="K142" t="str">
        <f>"20390126"</f>
        <v>20390126</v>
      </c>
      <c r="L142" t="s">
        <v>18</v>
      </c>
      <c r="M142" t="str">
        <f>"19970628"</f>
        <v>19970628</v>
      </c>
    </row>
    <row r="143" spans="1:13" x14ac:dyDescent="0.25">
      <c r="A143" t="str">
        <f>"00447352"</f>
        <v>00447352</v>
      </c>
      <c r="B143" t="s">
        <v>3476</v>
      </c>
      <c r="C143" t="s">
        <v>3477</v>
      </c>
      <c r="D143" t="s">
        <v>15</v>
      </c>
      <c r="E143" t="s">
        <v>26</v>
      </c>
      <c r="F143" t="s">
        <v>34</v>
      </c>
      <c r="G143" t="str">
        <f>"01"</f>
        <v>01</v>
      </c>
      <c r="H143" t="str">
        <f>"1  "</f>
        <v xml:space="preserve">1  </v>
      </c>
      <c r="I143" t="str">
        <f>"2020/08/21"</f>
        <v>2020/08/21</v>
      </c>
      <c r="J143" t="str">
        <f>"120"</f>
        <v>120</v>
      </c>
      <c r="K143" t="str">
        <f>"20201111"</f>
        <v>20201111</v>
      </c>
      <c r="L143" t="s">
        <v>18</v>
      </c>
      <c r="M143" t="str">
        <f>"20200724"</f>
        <v>20200724</v>
      </c>
    </row>
    <row r="144" spans="1:13" x14ac:dyDescent="0.25">
      <c r="A144" t="str">
        <f>"00305732"</f>
        <v>00305732</v>
      </c>
      <c r="B144" t="s">
        <v>3480</v>
      </c>
      <c r="C144" t="s">
        <v>3481</v>
      </c>
      <c r="D144" t="s">
        <v>25</v>
      </c>
      <c r="E144" t="s">
        <v>26</v>
      </c>
      <c r="F144" t="s">
        <v>34</v>
      </c>
      <c r="G144" t="str">
        <f>"01"</f>
        <v>01</v>
      </c>
      <c r="H144" t="str">
        <f>"3  "</f>
        <v xml:space="preserve">3  </v>
      </c>
      <c r="I144" t="str">
        <f>"2018/07/13"</f>
        <v>2018/07/13</v>
      </c>
      <c r="J144" t="str">
        <f>"110"</f>
        <v>110</v>
      </c>
      <c r="K144" t="str">
        <f>"20210101"</f>
        <v>20210101</v>
      </c>
      <c r="L144" t="s">
        <v>18</v>
      </c>
      <c r="M144" t="str">
        <f>"20180620"</f>
        <v>20180620</v>
      </c>
    </row>
    <row r="145" spans="1:13" x14ac:dyDescent="0.25">
      <c r="A145" t="str">
        <f>"00798724"</f>
        <v>00798724</v>
      </c>
      <c r="B145" t="s">
        <v>3482</v>
      </c>
      <c r="C145" t="s">
        <v>3483</v>
      </c>
      <c r="D145" t="s">
        <v>25</v>
      </c>
      <c r="E145" t="s">
        <v>26</v>
      </c>
      <c r="F145" t="s">
        <v>34</v>
      </c>
      <c r="G145" t="str">
        <f>"01"</f>
        <v>01</v>
      </c>
      <c r="H145" t="str">
        <f>"3  "</f>
        <v xml:space="preserve">3  </v>
      </c>
      <c r="I145" t="str">
        <f>"2016/12/28"</f>
        <v>2016/12/28</v>
      </c>
      <c r="J145" t="str">
        <f>"110"</f>
        <v>110</v>
      </c>
      <c r="K145" t="str">
        <f>"20280713"</f>
        <v>20280713</v>
      </c>
      <c r="L145" t="s">
        <v>18</v>
      </c>
      <c r="M145" t="str">
        <f>"20150728"</f>
        <v>20150728</v>
      </c>
    </row>
    <row r="146" spans="1:13" x14ac:dyDescent="0.25">
      <c r="A146" t="str">
        <f>"00196597"</f>
        <v>00196597</v>
      </c>
      <c r="B146" t="s">
        <v>3487</v>
      </c>
      <c r="C146" t="s">
        <v>479</v>
      </c>
      <c r="D146" t="s">
        <v>21</v>
      </c>
      <c r="E146" t="s">
        <v>16</v>
      </c>
      <c r="F146" t="s">
        <v>34</v>
      </c>
      <c r="G146" t="str">
        <f>"01"</f>
        <v>01</v>
      </c>
      <c r="H146" t="str">
        <f>"3  "</f>
        <v xml:space="preserve">3  </v>
      </c>
      <c r="I146" t="str">
        <f>"2018/08/15"</f>
        <v>2018/08/15</v>
      </c>
      <c r="J146" t="str">
        <f>"110"</f>
        <v>110</v>
      </c>
      <c r="K146" t="str">
        <f>"20410530"</f>
        <v>20410530</v>
      </c>
      <c r="L146" t="s">
        <v>18</v>
      </c>
      <c r="M146" t="str">
        <f>"20180203"</f>
        <v>20180203</v>
      </c>
    </row>
    <row r="147" spans="1:13" x14ac:dyDescent="0.25">
      <c r="A147" t="str">
        <f>"00840880"</f>
        <v>00840880</v>
      </c>
      <c r="B147" t="s">
        <v>3492</v>
      </c>
      <c r="C147" t="s">
        <v>3493</v>
      </c>
      <c r="D147" t="s">
        <v>51</v>
      </c>
      <c r="E147" t="s">
        <v>16</v>
      </c>
      <c r="F147" t="s">
        <v>34</v>
      </c>
      <c r="G147" t="str">
        <f>"01"</f>
        <v>01</v>
      </c>
      <c r="H147" t="str">
        <f>"3  "</f>
        <v xml:space="preserve">3  </v>
      </c>
      <c r="I147" t="str">
        <f>"2018/12/19"</f>
        <v>2018/12/19</v>
      </c>
      <c r="J147" t="str">
        <f>"110"</f>
        <v>110</v>
      </c>
      <c r="K147" t="str">
        <f>"20220113"</f>
        <v>20220113</v>
      </c>
      <c r="L147" t="s">
        <v>18</v>
      </c>
      <c r="M147" t="str">
        <f>"20170929"</f>
        <v>20170929</v>
      </c>
    </row>
    <row r="148" spans="1:13" x14ac:dyDescent="0.25">
      <c r="A148" t="str">
        <f>"00154302"</f>
        <v>00154302</v>
      </c>
      <c r="B148" t="s">
        <v>3500</v>
      </c>
      <c r="C148" t="s">
        <v>3501</v>
      </c>
      <c r="D148" t="s">
        <v>61</v>
      </c>
      <c r="E148" t="s">
        <v>26</v>
      </c>
      <c r="F148" t="s">
        <v>34</v>
      </c>
      <c r="G148" t="str">
        <f>"01"</f>
        <v>01</v>
      </c>
      <c r="H148" t="str">
        <f>"3  "</f>
        <v xml:space="preserve">3  </v>
      </c>
      <c r="I148" t="str">
        <f>"2019/10/21"</f>
        <v>2019/10/21</v>
      </c>
      <c r="J148" t="str">
        <f>"110"</f>
        <v>110</v>
      </c>
      <c r="K148" t="str">
        <f>"20201105"</f>
        <v>20201105</v>
      </c>
      <c r="L148" t="s">
        <v>18</v>
      </c>
      <c r="M148" t="str">
        <f>"20190908"</f>
        <v>20190908</v>
      </c>
    </row>
    <row r="149" spans="1:13" x14ac:dyDescent="0.25">
      <c r="A149" t="str">
        <f>"00384130"</f>
        <v>00384130</v>
      </c>
      <c r="B149" t="s">
        <v>3502</v>
      </c>
      <c r="C149" t="s">
        <v>3503</v>
      </c>
      <c r="D149" t="s">
        <v>51</v>
      </c>
      <c r="E149" t="s">
        <v>26</v>
      </c>
      <c r="F149" t="s">
        <v>34</v>
      </c>
      <c r="G149" t="str">
        <f>"01"</f>
        <v>01</v>
      </c>
      <c r="H149" t="str">
        <f>"3  "</f>
        <v xml:space="preserve">3  </v>
      </c>
      <c r="I149" t="str">
        <f>"2017/09/13"</f>
        <v>2017/09/13</v>
      </c>
      <c r="J149" t="str">
        <f>"110"</f>
        <v>110</v>
      </c>
      <c r="K149" t="str">
        <f>"20221112"</f>
        <v>20221112</v>
      </c>
      <c r="L149" t="s">
        <v>18</v>
      </c>
      <c r="M149" t="str">
        <f>"20161203"</f>
        <v>20161203</v>
      </c>
    </row>
    <row r="150" spans="1:13" x14ac:dyDescent="0.25">
      <c r="A150" t="str">
        <f>"00731571"</f>
        <v>00731571</v>
      </c>
      <c r="B150" t="s">
        <v>3547</v>
      </c>
      <c r="C150" t="s">
        <v>1235</v>
      </c>
      <c r="D150" t="s">
        <v>25</v>
      </c>
      <c r="E150" t="s">
        <v>16</v>
      </c>
      <c r="F150" t="s">
        <v>34</v>
      </c>
      <c r="G150" t="str">
        <f>"01"</f>
        <v>01</v>
      </c>
      <c r="H150" t="str">
        <f>"3  "</f>
        <v xml:space="preserve">3  </v>
      </c>
      <c r="I150" t="str">
        <f>"2020/03/04"</f>
        <v>2020/03/04</v>
      </c>
      <c r="J150" t="str">
        <f>"110"</f>
        <v>110</v>
      </c>
      <c r="K150" t="str">
        <f>"20270225"</f>
        <v>20270225</v>
      </c>
      <c r="L150" t="s">
        <v>18</v>
      </c>
      <c r="M150" t="str">
        <f>"20191224"</f>
        <v>20191224</v>
      </c>
    </row>
    <row r="151" spans="1:13" x14ac:dyDescent="0.25">
      <c r="A151" t="str">
        <f>"00426385"</f>
        <v>00426385</v>
      </c>
      <c r="B151" t="s">
        <v>3560</v>
      </c>
      <c r="C151" t="s">
        <v>476</v>
      </c>
      <c r="D151" t="s">
        <v>51</v>
      </c>
      <c r="E151" t="s">
        <v>16</v>
      </c>
      <c r="F151" t="s">
        <v>34</v>
      </c>
      <c r="G151" t="str">
        <f>"01"</f>
        <v>01</v>
      </c>
      <c r="H151" t="str">
        <f>"1  "</f>
        <v xml:space="preserve">1  </v>
      </c>
      <c r="I151" t="str">
        <f>"2020/09/11"</f>
        <v>2020/09/11</v>
      </c>
      <c r="J151" t="str">
        <f>"120"</f>
        <v>120</v>
      </c>
      <c r="K151" t="str">
        <f>"20210809"</f>
        <v>20210809</v>
      </c>
      <c r="L151" t="s">
        <v>18</v>
      </c>
      <c r="M151" t="str">
        <f>"20200903"</f>
        <v>20200903</v>
      </c>
    </row>
    <row r="152" spans="1:13" x14ac:dyDescent="0.25">
      <c r="A152" t="str">
        <f>"00675952"</f>
        <v>00675952</v>
      </c>
      <c r="B152" t="s">
        <v>3619</v>
      </c>
      <c r="C152" t="s">
        <v>1530</v>
      </c>
      <c r="D152" t="s">
        <v>25</v>
      </c>
      <c r="E152" t="s">
        <v>16</v>
      </c>
      <c r="F152" t="s">
        <v>34</v>
      </c>
      <c r="G152" t="str">
        <f>"01"</f>
        <v>01</v>
      </c>
      <c r="H152" t="str">
        <f>"3  "</f>
        <v xml:space="preserve">3  </v>
      </c>
      <c r="I152" t="str">
        <f>"2015/02/24"</f>
        <v>2015/02/24</v>
      </c>
      <c r="J152" t="str">
        <f>"110"</f>
        <v>110</v>
      </c>
      <c r="K152" t="str">
        <f>"20230208"</f>
        <v>20230208</v>
      </c>
      <c r="L152" t="s">
        <v>18</v>
      </c>
      <c r="M152" t="str">
        <f>"20141128"</f>
        <v>20141128</v>
      </c>
    </row>
    <row r="153" spans="1:13" x14ac:dyDescent="0.25">
      <c r="A153" t="str">
        <f>"00723112"</f>
        <v>00723112</v>
      </c>
      <c r="B153" t="s">
        <v>3623</v>
      </c>
      <c r="C153" t="s">
        <v>3624</v>
      </c>
      <c r="D153" t="s">
        <v>45</v>
      </c>
      <c r="E153" t="s">
        <v>16</v>
      </c>
      <c r="F153" t="s">
        <v>34</v>
      </c>
      <c r="G153" t="str">
        <f>"01"</f>
        <v>01</v>
      </c>
      <c r="H153" t="str">
        <f>"3  "</f>
        <v xml:space="preserve">3  </v>
      </c>
      <c r="I153" t="str">
        <f>"2015/04/22"</f>
        <v>2015/04/22</v>
      </c>
      <c r="J153" t="str">
        <f>"110"</f>
        <v>110</v>
      </c>
      <c r="K153" t="str">
        <f>"20230203"</f>
        <v>20230203</v>
      </c>
      <c r="L153" t="s">
        <v>18</v>
      </c>
      <c r="M153" t="str">
        <f>"20140927"</f>
        <v>20140927</v>
      </c>
    </row>
    <row r="154" spans="1:13" x14ac:dyDescent="0.25">
      <c r="A154" t="str">
        <f>"00726863"</f>
        <v>00726863</v>
      </c>
      <c r="B154" t="s">
        <v>3625</v>
      </c>
      <c r="C154" t="s">
        <v>2645</v>
      </c>
      <c r="D154" t="s">
        <v>40</v>
      </c>
      <c r="E154" t="s">
        <v>16</v>
      </c>
      <c r="F154" t="s">
        <v>34</v>
      </c>
      <c r="G154" t="str">
        <f>"01"</f>
        <v>01</v>
      </c>
      <c r="H154" t="str">
        <f>"3  "</f>
        <v xml:space="preserve">3  </v>
      </c>
      <c r="I154" t="str">
        <f>"2014/03/31"</f>
        <v>2014/03/31</v>
      </c>
      <c r="J154" t="str">
        <f>"110"</f>
        <v>110</v>
      </c>
      <c r="K154" t="str">
        <f>"20350323"</f>
        <v>20350323</v>
      </c>
      <c r="L154" t="s">
        <v>18</v>
      </c>
      <c r="M154" t="str">
        <f>"20120919"</f>
        <v>20120919</v>
      </c>
    </row>
    <row r="155" spans="1:13" x14ac:dyDescent="0.25">
      <c r="A155" t="str">
        <f>"00854652"</f>
        <v>00854652</v>
      </c>
      <c r="B155" t="s">
        <v>3635</v>
      </c>
      <c r="C155" t="s">
        <v>2774</v>
      </c>
      <c r="D155" t="s">
        <v>37</v>
      </c>
      <c r="E155" t="s">
        <v>16</v>
      </c>
      <c r="F155" t="s">
        <v>34</v>
      </c>
      <c r="G155" t="str">
        <f>"01"</f>
        <v>01</v>
      </c>
      <c r="H155" t="str">
        <f>"0  "</f>
        <v xml:space="preserve">0  </v>
      </c>
      <c r="I155" t="str">
        <f>"2020/09/02"</f>
        <v>2020/09/02</v>
      </c>
      <c r="J155" t="str">
        <f>"420"</f>
        <v>420</v>
      </c>
      <c r="K155" t="s">
        <v>18</v>
      </c>
      <c r="L155" t="s">
        <v>18</v>
      </c>
      <c r="M155" t="s">
        <v>18</v>
      </c>
    </row>
    <row r="156" spans="1:13" x14ac:dyDescent="0.25">
      <c r="A156" t="str">
        <f>"00749118"</f>
        <v>00749118</v>
      </c>
      <c r="B156" t="s">
        <v>3660</v>
      </c>
      <c r="C156" t="s">
        <v>3662</v>
      </c>
      <c r="D156" t="s">
        <v>25</v>
      </c>
      <c r="E156" t="s">
        <v>16</v>
      </c>
      <c r="F156" t="s">
        <v>34</v>
      </c>
      <c r="G156" t="str">
        <f>"01"</f>
        <v>01</v>
      </c>
      <c r="H156" t="str">
        <f>"0  "</f>
        <v xml:space="preserve">0  </v>
      </c>
      <c r="I156" t="str">
        <f>"2020/07/22"</f>
        <v>2020/07/22</v>
      </c>
      <c r="J156" t="str">
        <f>"512"</f>
        <v>512</v>
      </c>
      <c r="K156" t="s">
        <v>18</v>
      </c>
      <c r="L156" t="s">
        <v>18</v>
      </c>
      <c r="M156" t="s">
        <v>18</v>
      </c>
    </row>
    <row r="157" spans="1:13" x14ac:dyDescent="0.25">
      <c r="A157" t="str">
        <f>"00286653"</f>
        <v>00286653</v>
      </c>
      <c r="B157" t="s">
        <v>3676</v>
      </c>
      <c r="C157" t="s">
        <v>3677</v>
      </c>
      <c r="D157" t="s">
        <v>40</v>
      </c>
      <c r="E157" t="s">
        <v>16</v>
      </c>
      <c r="F157" t="s">
        <v>34</v>
      </c>
      <c r="G157" t="str">
        <f>"01"</f>
        <v>01</v>
      </c>
      <c r="H157" t="str">
        <f>"3  "</f>
        <v xml:space="preserve">3  </v>
      </c>
      <c r="I157" t="str">
        <f>"2019/01/11"</f>
        <v>2019/01/11</v>
      </c>
      <c r="J157" t="str">
        <f>"110"</f>
        <v>110</v>
      </c>
      <c r="K157" t="str">
        <f>"20210206"</f>
        <v>20210206</v>
      </c>
      <c r="L157" t="s">
        <v>18</v>
      </c>
      <c r="M157" t="str">
        <f>"20190101"</f>
        <v>20190101</v>
      </c>
    </row>
    <row r="158" spans="1:13" x14ac:dyDescent="0.25">
      <c r="A158" t="str">
        <f>"00782603"</f>
        <v>00782603</v>
      </c>
      <c r="B158" t="s">
        <v>3715</v>
      </c>
      <c r="C158" t="s">
        <v>1339</v>
      </c>
      <c r="D158" t="s">
        <v>15</v>
      </c>
      <c r="E158" t="s">
        <v>26</v>
      </c>
      <c r="F158" t="s">
        <v>34</v>
      </c>
      <c r="G158" t="str">
        <f>"01"</f>
        <v>01</v>
      </c>
      <c r="H158" t="str">
        <f>"3  "</f>
        <v xml:space="preserve">3  </v>
      </c>
      <c r="I158" t="str">
        <f>"2016/10/03"</f>
        <v>2016/10/03</v>
      </c>
      <c r="J158" t="str">
        <f>"110"</f>
        <v>110</v>
      </c>
      <c r="K158" t="str">
        <f>"20211027"</f>
        <v>20211027</v>
      </c>
      <c r="L158" t="s">
        <v>18</v>
      </c>
      <c r="M158" t="str">
        <f>"20151029"</f>
        <v>20151029</v>
      </c>
    </row>
    <row r="159" spans="1:13" x14ac:dyDescent="0.25">
      <c r="A159" t="str">
        <f>"00868988"</f>
        <v>00868988</v>
      </c>
      <c r="B159" t="s">
        <v>3765</v>
      </c>
      <c r="C159" t="s">
        <v>3766</v>
      </c>
      <c r="D159" t="s">
        <v>25</v>
      </c>
      <c r="E159" t="s">
        <v>26</v>
      </c>
      <c r="F159" t="s">
        <v>34</v>
      </c>
      <c r="G159" t="str">
        <f>"01"</f>
        <v>01</v>
      </c>
      <c r="H159" t="str">
        <f>"0  "</f>
        <v xml:space="preserve">0  </v>
      </c>
      <c r="I159" t="str">
        <f>"2020/07/20"</f>
        <v>2020/07/20</v>
      </c>
      <c r="J159" t="str">
        <f>"420"</f>
        <v>420</v>
      </c>
      <c r="K159" t="s">
        <v>18</v>
      </c>
      <c r="L159" t="s">
        <v>18</v>
      </c>
      <c r="M159" t="s">
        <v>18</v>
      </c>
    </row>
    <row r="160" spans="1:13" x14ac:dyDescent="0.25">
      <c r="A160" t="str">
        <f>"00520151"</f>
        <v>00520151</v>
      </c>
      <c r="B160" t="s">
        <v>3778</v>
      </c>
      <c r="C160" t="s">
        <v>976</v>
      </c>
      <c r="D160" t="s">
        <v>15</v>
      </c>
      <c r="E160" t="s">
        <v>16</v>
      </c>
      <c r="F160" t="s">
        <v>34</v>
      </c>
      <c r="G160" t="str">
        <f>"01"</f>
        <v>01</v>
      </c>
      <c r="H160" t="str">
        <f>"3  "</f>
        <v xml:space="preserve">3  </v>
      </c>
      <c r="I160" t="str">
        <f>"2020/02/28"</f>
        <v>2020/02/28</v>
      </c>
      <c r="J160" t="str">
        <f>"110"</f>
        <v>110</v>
      </c>
      <c r="K160" t="str">
        <f>"20270316"</f>
        <v>20270316</v>
      </c>
      <c r="L160" t="s">
        <v>18</v>
      </c>
      <c r="M160" t="str">
        <f>"20200113"</f>
        <v>20200113</v>
      </c>
    </row>
    <row r="161" spans="1:13" x14ac:dyDescent="0.25">
      <c r="A161" t="str">
        <f>"00633254"</f>
        <v>00633254</v>
      </c>
      <c r="B161" t="s">
        <v>3779</v>
      </c>
      <c r="C161" t="s">
        <v>3780</v>
      </c>
      <c r="D161" t="s">
        <v>25</v>
      </c>
      <c r="E161" t="s">
        <v>16</v>
      </c>
      <c r="F161" t="s">
        <v>34</v>
      </c>
      <c r="G161" t="str">
        <f>"01"</f>
        <v>01</v>
      </c>
      <c r="H161" t="str">
        <f>"3  "</f>
        <v xml:space="preserve">3  </v>
      </c>
      <c r="I161" t="str">
        <f>"2013/06/10"</f>
        <v>2013/06/10</v>
      </c>
      <c r="J161" t="str">
        <f>"110"</f>
        <v>110</v>
      </c>
      <c r="K161" t="str">
        <f>"20350122"</f>
        <v>20350122</v>
      </c>
      <c r="L161" t="s">
        <v>18</v>
      </c>
      <c r="M161" t="str">
        <f>"20130130"</f>
        <v>20130130</v>
      </c>
    </row>
    <row r="162" spans="1:13" x14ac:dyDescent="0.25">
      <c r="A162" t="str">
        <f>"00557202"</f>
        <v>00557202</v>
      </c>
      <c r="B162" t="s">
        <v>3790</v>
      </c>
      <c r="C162" t="s">
        <v>2463</v>
      </c>
      <c r="D162" t="s">
        <v>25</v>
      </c>
      <c r="E162" t="s">
        <v>16</v>
      </c>
      <c r="F162" t="s">
        <v>34</v>
      </c>
      <c r="G162" t="str">
        <f>"01"</f>
        <v>01</v>
      </c>
      <c r="H162" t="str">
        <f>"3  "</f>
        <v xml:space="preserve">3  </v>
      </c>
      <c r="I162" t="str">
        <f>"2018/11/27"</f>
        <v>2018/11/27</v>
      </c>
      <c r="J162" t="str">
        <f>"110"</f>
        <v>110</v>
      </c>
      <c r="K162" t="str">
        <f>"20301011"</f>
        <v>20301011</v>
      </c>
      <c r="L162" t="s">
        <v>18</v>
      </c>
      <c r="M162" t="str">
        <f>"20170628"</f>
        <v>20170628</v>
      </c>
    </row>
    <row r="163" spans="1:13" x14ac:dyDescent="0.25">
      <c r="A163" t="str">
        <f>"00710539"</f>
        <v>00710539</v>
      </c>
      <c r="B163" t="s">
        <v>3810</v>
      </c>
      <c r="C163" t="s">
        <v>3811</v>
      </c>
      <c r="D163" t="s">
        <v>40</v>
      </c>
      <c r="E163" t="s">
        <v>26</v>
      </c>
      <c r="F163" t="s">
        <v>34</v>
      </c>
      <c r="G163" t="str">
        <f>"01"</f>
        <v>01</v>
      </c>
      <c r="H163" t="str">
        <f>"3  "</f>
        <v xml:space="preserve">3  </v>
      </c>
      <c r="I163" t="str">
        <f>"2019/07/27"</f>
        <v>2019/07/27</v>
      </c>
      <c r="J163" t="str">
        <f>"531"</f>
        <v>531</v>
      </c>
      <c r="K163" t="str">
        <f>"20201111"</f>
        <v>20201111</v>
      </c>
      <c r="L163" t="s">
        <v>18</v>
      </c>
      <c r="M163" t="str">
        <f>"20190502"</f>
        <v>20190502</v>
      </c>
    </row>
    <row r="164" spans="1:13" x14ac:dyDescent="0.25">
      <c r="A164" t="str">
        <f>"00649690"</f>
        <v>00649690</v>
      </c>
      <c r="B164" t="s">
        <v>3843</v>
      </c>
      <c r="C164" t="s">
        <v>3845</v>
      </c>
      <c r="D164" t="s">
        <v>26</v>
      </c>
      <c r="E164" t="s">
        <v>26</v>
      </c>
      <c r="F164" t="s">
        <v>34</v>
      </c>
      <c r="G164" t="str">
        <f>"01"</f>
        <v>01</v>
      </c>
      <c r="H164" t="str">
        <f>"0  "</f>
        <v xml:space="preserve">0  </v>
      </c>
      <c r="I164" t="str">
        <f>"2020/04/21"</f>
        <v>2020/04/21</v>
      </c>
      <c r="J164" t="str">
        <f>"503"</f>
        <v>503</v>
      </c>
      <c r="K164" t="s">
        <v>18</v>
      </c>
      <c r="L164" t="s">
        <v>18</v>
      </c>
      <c r="M164" t="s">
        <v>18</v>
      </c>
    </row>
    <row r="165" spans="1:13" x14ac:dyDescent="0.25">
      <c r="A165" t="str">
        <f>"00502722"</f>
        <v>00502722</v>
      </c>
      <c r="B165" t="s">
        <v>3867</v>
      </c>
      <c r="C165" t="s">
        <v>3869</v>
      </c>
      <c r="D165" t="s">
        <v>40</v>
      </c>
      <c r="E165" t="s">
        <v>16</v>
      </c>
      <c r="F165" t="s">
        <v>34</v>
      </c>
      <c r="G165" t="str">
        <f>"01"</f>
        <v>01</v>
      </c>
      <c r="H165" t="str">
        <f>"0  "</f>
        <v xml:space="preserve">0  </v>
      </c>
      <c r="I165" t="str">
        <f>"2020/08/27"</f>
        <v>2020/08/27</v>
      </c>
      <c r="J165" t="str">
        <f>"420"</f>
        <v>420</v>
      </c>
      <c r="K165" t="s">
        <v>18</v>
      </c>
      <c r="L165" t="s">
        <v>18</v>
      </c>
      <c r="M165" t="s">
        <v>18</v>
      </c>
    </row>
    <row r="166" spans="1:13" x14ac:dyDescent="0.25">
      <c r="A166" t="str">
        <f>"00375641"</f>
        <v>00375641</v>
      </c>
      <c r="B166" t="s">
        <v>3878</v>
      </c>
      <c r="C166" t="s">
        <v>3879</v>
      </c>
      <c r="D166" t="s">
        <v>73</v>
      </c>
      <c r="E166" t="s">
        <v>16</v>
      </c>
      <c r="F166" t="s">
        <v>34</v>
      </c>
      <c r="G166" t="str">
        <f>"01"</f>
        <v>01</v>
      </c>
      <c r="H166" t="str">
        <f>"3  "</f>
        <v xml:space="preserve">3  </v>
      </c>
      <c r="I166" t="str">
        <f>"2006/06/02"</f>
        <v>2006/06/02</v>
      </c>
      <c r="J166" t="str">
        <f>"110"</f>
        <v>110</v>
      </c>
      <c r="K166" t="str">
        <f>"20300417"</f>
        <v>20300417</v>
      </c>
      <c r="L166" t="s">
        <v>18</v>
      </c>
      <c r="M166" t="str">
        <f>"20050204"</f>
        <v>20050204</v>
      </c>
    </row>
    <row r="167" spans="1:13" x14ac:dyDescent="0.25">
      <c r="A167" t="str">
        <f>"00632546"</f>
        <v>00632546</v>
      </c>
      <c r="B167" t="s">
        <v>3900</v>
      </c>
      <c r="C167" t="s">
        <v>3901</v>
      </c>
      <c r="D167" t="s">
        <v>1212</v>
      </c>
      <c r="E167" t="s">
        <v>26</v>
      </c>
      <c r="F167" t="s">
        <v>34</v>
      </c>
      <c r="G167" t="str">
        <f>"01"</f>
        <v>01</v>
      </c>
      <c r="H167" t="str">
        <f>"1  "</f>
        <v xml:space="preserve">1  </v>
      </c>
      <c r="I167" t="str">
        <f>"2020/07/17"</f>
        <v>2020/07/17</v>
      </c>
      <c r="J167" t="str">
        <f>"110"</f>
        <v>110</v>
      </c>
      <c r="K167" t="str">
        <f>"20201123"</f>
        <v>20201123</v>
      </c>
      <c r="L167" t="s">
        <v>18</v>
      </c>
      <c r="M167" t="str">
        <f>"20191218"</f>
        <v>20191218</v>
      </c>
    </row>
    <row r="168" spans="1:13" x14ac:dyDescent="0.25">
      <c r="A168" t="str">
        <f>"00326044"</f>
        <v>00326044</v>
      </c>
      <c r="B168" t="s">
        <v>3908</v>
      </c>
      <c r="C168" t="s">
        <v>2730</v>
      </c>
      <c r="D168" t="s">
        <v>77</v>
      </c>
      <c r="E168" t="s">
        <v>16</v>
      </c>
      <c r="F168" t="s">
        <v>34</v>
      </c>
      <c r="G168" t="str">
        <f>"01"</f>
        <v>01</v>
      </c>
      <c r="H168" t="str">
        <f>"0  "</f>
        <v xml:space="preserve">0  </v>
      </c>
      <c r="I168" t="str">
        <f>"2020/09/13"</f>
        <v>2020/09/13</v>
      </c>
      <c r="J168" t="str">
        <f>"503"</f>
        <v>503</v>
      </c>
      <c r="K168" t="s">
        <v>18</v>
      </c>
      <c r="L168" t="s">
        <v>18</v>
      </c>
      <c r="M168" t="s">
        <v>18</v>
      </c>
    </row>
    <row r="169" spans="1:13" x14ac:dyDescent="0.25">
      <c r="A169" t="str">
        <f>"00551976"</f>
        <v>00551976</v>
      </c>
      <c r="B169" t="s">
        <v>3908</v>
      </c>
      <c r="C169" t="s">
        <v>3909</v>
      </c>
      <c r="D169" t="s">
        <v>15</v>
      </c>
      <c r="E169" t="s">
        <v>16</v>
      </c>
      <c r="F169" t="s">
        <v>34</v>
      </c>
      <c r="G169" t="str">
        <f>"01"</f>
        <v>01</v>
      </c>
      <c r="H169" t="str">
        <f>"3  "</f>
        <v xml:space="preserve">3  </v>
      </c>
      <c r="I169" t="str">
        <f>"2007/06/08"</f>
        <v>2007/06/08</v>
      </c>
      <c r="J169" t="str">
        <f>"534"</f>
        <v>534</v>
      </c>
      <c r="K169" t="str">
        <f>"20230822"</f>
        <v>20230822</v>
      </c>
      <c r="L169" t="s">
        <v>18</v>
      </c>
      <c r="M169" t="str">
        <f>"20050630"</f>
        <v>20050630</v>
      </c>
    </row>
    <row r="170" spans="1:13" x14ac:dyDescent="0.25">
      <c r="A170" t="str">
        <f>"00223116"</f>
        <v>00223116</v>
      </c>
      <c r="B170" t="s">
        <v>3908</v>
      </c>
      <c r="C170" t="s">
        <v>2965</v>
      </c>
      <c r="D170" t="s">
        <v>40</v>
      </c>
      <c r="E170" t="s">
        <v>16</v>
      </c>
      <c r="F170" t="s">
        <v>34</v>
      </c>
      <c r="G170" t="str">
        <f>"01"</f>
        <v>01</v>
      </c>
      <c r="H170" t="str">
        <f>"1  "</f>
        <v xml:space="preserve">1  </v>
      </c>
      <c r="I170" t="str">
        <f>"2020/09/16"</f>
        <v>2020/09/16</v>
      </c>
      <c r="J170" t="str">
        <f>"120"</f>
        <v>120</v>
      </c>
      <c r="K170" t="str">
        <f>"20201202"</f>
        <v>20201202</v>
      </c>
      <c r="L170" t="s">
        <v>18</v>
      </c>
      <c r="M170" t="str">
        <f>"20200910"</f>
        <v>20200910</v>
      </c>
    </row>
    <row r="171" spans="1:13" x14ac:dyDescent="0.25">
      <c r="A171" t="str">
        <f>"00780787"</f>
        <v>00780787</v>
      </c>
      <c r="B171" t="s">
        <v>3940</v>
      </c>
      <c r="C171" t="s">
        <v>959</v>
      </c>
      <c r="D171" t="s">
        <v>61</v>
      </c>
      <c r="E171" t="s">
        <v>26</v>
      </c>
      <c r="F171" t="s">
        <v>34</v>
      </c>
      <c r="G171" t="str">
        <f>"01"</f>
        <v>01</v>
      </c>
      <c r="H171" t="str">
        <f>"0  "</f>
        <v xml:space="preserve">0  </v>
      </c>
      <c r="I171" t="str">
        <f>"2020/04/23"</f>
        <v>2020/04/23</v>
      </c>
      <c r="J171" t="str">
        <f>"420"</f>
        <v>420</v>
      </c>
      <c r="K171" t="s">
        <v>18</v>
      </c>
      <c r="L171" t="s">
        <v>18</v>
      </c>
      <c r="M171" t="s">
        <v>18</v>
      </c>
    </row>
    <row r="172" spans="1:13" x14ac:dyDescent="0.25">
      <c r="A172" t="str">
        <f>"00191791"</f>
        <v>00191791</v>
      </c>
      <c r="B172" t="s">
        <v>3940</v>
      </c>
      <c r="C172" t="s">
        <v>3951</v>
      </c>
      <c r="D172" t="s">
        <v>15</v>
      </c>
      <c r="E172" t="s">
        <v>16</v>
      </c>
      <c r="F172" t="s">
        <v>34</v>
      </c>
      <c r="G172" t="str">
        <f>"01"</f>
        <v>01</v>
      </c>
      <c r="H172" t="str">
        <f>"1  "</f>
        <v xml:space="preserve">1  </v>
      </c>
      <c r="I172" t="str">
        <f>"2020/06/15"</f>
        <v>2020/06/15</v>
      </c>
      <c r="J172" t="str">
        <f>"110"</f>
        <v>110</v>
      </c>
      <c r="K172" t="str">
        <f>"20201101"</f>
        <v>20201101</v>
      </c>
      <c r="L172" t="s">
        <v>18</v>
      </c>
      <c r="M172" t="str">
        <f>"20200615"</f>
        <v>20200615</v>
      </c>
    </row>
    <row r="173" spans="1:13" x14ac:dyDescent="0.25">
      <c r="A173" t="str">
        <f>"00877863"</f>
        <v>00877863</v>
      </c>
      <c r="B173" t="s">
        <v>3940</v>
      </c>
      <c r="C173" t="s">
        <v>3954</v>
      </c>
      <c r="D173" t="s">
        <v>21</v>
      </c>
      <c r="E173" t="s">
        <v>26</v>
      </c>
      <c r="F173" t="s">
        <v>34</v>
      </c>
      <c r="G173" t="str">
        <f>"01"</f>
        <v>01</v>
      </c>
      <c r="H173" t="str">
        <f>"0  "</f>
        <v xml:space="preserve">0  </v>
      </c>
      <c r="I173" t="str">
        <f>"2020/09/20"</f>
        <v>2020/09/20</v>
      </c>
      <c r="J173" t="str">
        <f>"503"</f>
        <v>503</v>
      </c>
      <c r="K173" t="s">
        <v>18</v>
      </c>
      <c r="L173" t="s">
        <v>18</v>
      </c>
      <c r="M173" t="s">
        <v>18</v>
      </c>
    </row>
    <row r="174" spans="1:13" x14ac:dyDescent="0.25">
      <c r="A174" t="str">
        <f>"00937352"</f>
        <v>00937352</v>
      </c>
      <c r="B174" t="s">
        <v>3972</v>
      </c>
      <c r="C174" t="s">
        <v>3979</v>
      </c>
      <c r="D174" t="s">
        <v>77</v>
      </c>
      <c r="E174" t="s">
        <v>26</v>
      </c>
      <c r="F174" t="s">
        <v>34</v>
      </c>
      <c r="G174" t="str">
        <f>"01"</f>
        <v>01</v>
      </c>
      <c r="H174" t="str">
        <f>"0  "</f>
        <v xml:space="preserve">0  </v>
      </c>
      <c r="I174" t="str">
        <f>"2020/09/17"</f>
        <v>2020/09/17</v>
      </c>
      <c r="J174" t="str">
        <f>"420"</f>
        <v>420</v>
      </c>
      <c r="K174" t="s">
        <v>18</v>
      </c>
      <c r="L174" t="s">
        <v>18</v>
      </c>
      <c r="M174" t="s">
        <v>18</v>
      </c>
    </row>
    <row r="175" spans="1:13" x14ac:dyDescent="0.25">
      <c r="A175" t="str">
        <f>"00395179"</f>
        <v>00395179</v>
      </c>
      <c r="B175" t="s">
        <v>3997</v>
      </c>
      <c r="C175" t="s">
        <v>1767</v>
      </c>
      <c r="D175" t="s">
        <v>113</v>
      </c>
      <c r="E175" t="s">
        <v>16</v>
      </c>
      <c r="F175" t="s">
        <v>34</v>
      </c>
      <c r="G175" t="str">
        <f>"01"</f>
        <v>01</v>
      </c>
      <c r="H175" t="str">
        <f>"3  "</f>
        <v xml:space="preserve">3  </v>
      </c>
      <c r="I175" t="str">
        <f>"2017/03/02"</f>
        <v>2017/03/02</v>
      </c>
      <c r="J175" t="str">
        <f>"110"</f>
        <v>110</v>
      </c>
      <c r="K175" t="str">
        <f>"20220711"</f>
        <v>20220711</v>
      </c>
      <c r="L175" t="s">
        <v>18</v>
      </c>
      <c r="M175" t="str">
        <f>"20170217"</f>
        <v>20170217</v>
      </c>
    </row>
    <row r="176" spans="1:13" x14ac:dyDescent="0.25">
      <c r="A176" t="str">
        <f>"00522084"</f>
        <v>00522084</v>
      </c>
      <c r="B176" t="s">
        <v>4027</v>
      </c>
      <c r="C176" t="s">
        <v>4030</v>
      </c>
      <c r="D176" t="s">
        <v>25</v>
      </c>
      <c r="E176" t="s">
        <v>26</v>
      </c>
      <c r="F176" t="s">
        <v>34</v>
      </c>
      <c r="G176" t="str">
        <f>"01"</f>
        <v>01</v>
      </c>
      <c r="H176" t="str">
        <f>"7  "</f>
        <v xml:space="preserve">7  </v>
      </c>
      <c r="I176" t="str">
        <f>"2018/11/17"</f>
        <v>2018/11/17</v>
      </c>
      <c r="J176" t="str">
        <f>"110"</f>
        <v>110</v>
      </c>
      <c r="K176" t="s">
        <v>18</v>
      </c>
      <c r="L176" t="s">
        <v>18</v>
      </c>
      <c r="M176" t="str">
        <f>"20170425"</f>
        <v>20170425</v>
      </c>
    </row>
    <row r="177" spans="1:13" x14ac:dyDescent="0.25">
      <c r="A177" t="str">
        <f>"00440556"</f>
        <v>00440556</v>
      </c>
      <c r="B177" t="s">
        <v>4027</v>
      </c>
      <c r="C177" t="s">
        <v>4031</v>
      </c>
      <c r="D177" t="s">
        <v>51</v>
      </c>
      <c r="E177" t="s">
        <v>26</v>
      </c>
      <c r="F177" t="s">
        <v>34</v>
      </c>
      <c r="G177" t="str">
        <f>"01"</f>
        <v>01</v>
      </c>
      <c r="H177" t="str">
        <f>"0  "</f>
        <v xml:space="preserve">0  </v>
      </c>
      <c r="I177" t="str">
        <f>"2020/01/15"</f>
        <v>2020/01/15</v>
      </c>
      <c r="J177" t="str">
        <f>"420"</f>
        <v>420</v>
      </c>
      <c r="K177" t="s">
        <v>18</v>
      </c>
      <c r="L177" t="s">
        <v>18</v>
      </c>
      <c r="M177" t="s">
        <v>18</v>
      </c>
    </row>
    <row r="178" spans="1:13" x14ac:dyDescent="0.25">
      <c r="A178" t="str">
        <f>"00874845"</f>
        <v>00874845</v>
      </c>
      <c r="B178" t="s">
        <v>4027</v>
      </c>
      <c r="C178" t="s">
        <v>4032</v>
      </c>
      <c r="D178" t="s">
        <v>25</v>
      </c>
      <c r="E178" t="s">
        <v>26</v>
      </c>
      <c r="F178" t="s">
        <v>34</v>
      </c>
      <c r="G178" t="str">
        <f>"01"</f>
        <v>01</v>
      </c>
      <c r="H178" t="str">
        <f>"3  "</f>
        <v xml:space="preserve">3  </v>
      </c>
      <c r="I178" t="str">
        <f>"2019/06/28"</f>
        <v>2019/06/28</v>
      </c>
      <c r="J178" t="str">
        <f>"110"</f>
        <v>110</v>
      </c>
      <c r="K178" t="str">
        <f>"20490822"</f>
        <v>20490822</v>
      </c>
      <c r="L178" t="s">
        <v>18</v>
      </c>
      <c r="M178" t="str">
        <f>"20180223"</f>
        <v>20180223</v>
      </c>
    </row>
    <row r="179" spans="1:13" x14ac:dyDescent="0.25">
      <c r="A179" t="str">
        <f>"00337651"</f>
        <v>00337651</v>
      </c>
      <c r="B179" t="s">
        <v>4027</v>
      </c>
      <c r="C179" t="s">
        <v>4033</v>
      </c>
      <c r="D179" t="s">
        <v>51</v>
      </c>
      <c r="E179" t="s">
        <v>26</v>
      </c>
      <c r="F179" t="s">
        <v>34</v>
      </c>
      <c r="G179" t="str">
        <f>"01"</f>
        <v>01</v>
      </c>
      <c r="H179" t="str">
        <f>"3  "</f>
        <v xml:space="preserve">3  </v>
      </c>
      <c r="I179" t="str">
        <f>"2018/09/08"</f>
        <v>2018/09/08</v>
      </c>
      <c r="J179" t="str">
        <f>"110"</f>
        <v>110</v>
      </c>
      <c r="K179" t="str">
        <f>"20210706"</f>
        <v>20210706</v>
      </c>
      <c r="L179" t="s">
        <v>18</v>
      </c>
      <c r="M179" t="str">
        <f>"20180128"</f>
        <v>20180128</v>
      </c>
    </row>
    <row r="180" spans="1:13" x14ac:dyDescent="0.25">
      <c r="A180" t="str">
        <f>"00656624"</f>
        <v>00656624</v>
      </c>
      <c r="B180" t="s">
        <v>4039</v>
      </c>
      <c r="C180" t="s">
        <v>4040</v>
      </c>
      <c r="D180" t="s">
        <v>215</v>
      </c>
      <c r="E180" t="s">
        <v>26</v>
      </c>
      <c r="F180" t="s">
        <v>34</v>
      </c>
      <c r="G180" t="str">
        <f>"01"</f>
        <v>01</v>
      </c>
      <c r="H180" t="str">
        <f>"3  "</f>
        <v xml:space="preserve">3  </v>
      </c>
      <c r="I180" t="str">
        <f>"2018/09/12"</f>
        <v>2018/09/12</v>
      </c>
      <c r="J180" t="str">
        <f>"110"</f>
        <v>110</v>
      </c>
      <c r="K180" t="str">
        <f>"20220827"</f>
        <v>20220827</v>
      </c>
      <c r="L180" t="s">
        <v>18</v>
      </c>
      <c r="M180" t="str">
        <f>"20180928"</f>
        <v>20180928</v>
      </c>
    </row>
    <row r="181" spans="1:13" x14ac:dyDescent="0.25">
      <c r="A181" t="str">
        <f>"00593181"</f>
        <v>00593181</v>
      </c>
      <c r="B181" t="s">
        <v>4043</v>
      </c>
      <c r="C181" t="s">
        <v>116</v>
      </c>
      <c r="D181" t="s">
        <v>25</v>
      </c>
      <c r="E181" t="s">
        <v>16</v>
      </c>
      <c r="F181" t="s">
        <v>34</v>
      </c>
      <c r="G181" t="str">
        <f>"01"</f>
        <v>01</v>
      </c>
      <c r="H181" t="str">
        <f>"3  "</f>
        <v xml:space="preserve">3  </v>
      </c>
      <c r="I181" t="str">
        <f>"2013/06/03"</f>
        <v>2013/06/03</v>
      </c>
      <c r="J181" t="str">
        <f>"110"</f>
        <v>110</v>
      </c>
      <c r="K181" t="str">
        <f>"20220701"</f>
        <v>20220701</v>
      </c>
      <c r="L181" t="s">
        <v>18</v>
      </c>
      <c r="M181" t="str">
        <f>"20120925"</f>
        <v>20120925</v>
      </c>
    </row>
    <row r="182" spans="1:13" x14ac:dyDescent="0.25">
      <c r="A182" t="str">
        <f>"00411197"</f>
        <v>00411197</v>
      </c>
      <c r="B182" t="s">
        <v>4051</v>
      </c>
      <c r="C182" t="s">
        <v>4052</v>
      </c>
      <c r="D182" t="s">
        <v>80</v>
      </c>
      <c r="E182" t="s">
        <v>26</v>
      </c>
      <c r="F182" t="s">
        <v>34</v>
      </c>
      <c r="G182" t="str">
        <f>"01"</f>
        <v>01</v>
      </c>
      <c r="H182" t="str">
        <f>"7  "</f>
        <v xml:space="preserve">7  </v>
      </c>
      <c r="I182" t="str">
        <f>"2001/06/19"</f>
        <v>2001/06/19</v>
      </c>
      <c r="J182" t="str">
        <f>"114"</f>
        <v>114</v>
      </c>
      <c r="K182" t="s">
        <v>18</v>
      </c>
      <c r="L182" t="s">
        <v>18</v>
      </c>
      <c r="M182" t="str">
        <f>"19990427"</f>
        <v>19990427</v>
      </c>
    </row>
    <row r="183" spans="1:13" x14ac:dyDescent="0.25">
      <c r="A183" t="str">
        <f>"00536935"</f>
        <v>00536935</v>
      </c>
      <c r="B183" t="s">
        <v>4070</v>
      </c>
      <c r="C183" t="s">
        <v>4071</v>
      </c>
      <c r="D183" t="s">
        <v>73</v>
      </c>
      <c r="E183" t="s">
        <v>16</v>
      </c>
      <c r="F183" t="s">
        <v>34</v>
      </c>
      <c r="G183" t="str">
        <f>"01"</f>
        <v>01</v>
      </c>
      <c r="H183" t="str">
        <f>"3  "</f>
        <v xml:space="preserve">3  </v>
      </c>
      <c r="I183" t="str">
        <f>"2020/02/13"</f>
        <v>2020/02/13</v>
      </c>
      <c r="J183" t="str">
        <f>"120"</f>
        <v>120</v>
      </c>
      <c r="K183" t="str">
        <f>"20210209"</f>
        <v>20210209</v>
      </c>
      <c r="L183" t="s">
        <v>18</v>
      </c>
      <c r="M183" t="str">
        <f>"20200212"</f>
        <v>20200212</v>
      </c>
    </row>
    <row r="184" spans="1:13" x14ac:dyDescent="0.25">
      <c r="A184" t="str">
        <f>"00791624"</f>
        <v>00791624</v>
      </c>
      <c r="B184" t="s">
        <v>13</v>
      </c>
      <c r="C184" t="s">
        <v>14</v>
      </c>
      <c r="D184" t="s">
        <v>15</v>
      </c>
      <c r="E184" t="s">
        <v>16</v>
      </c>
      <c r="F184" t="s">
        <v>17</v>
      </c>
      <c r="G184" t="str">
        <f>"02"</f>
        <v>02</v>
      </c>
      <c r="H184" t="str">
        <f>"3  "</f>
        <v xml:space="preserve">3  </v>
      </c>
      <c r="I184" t="str">
        <f>"2016/11/16"</f>
        <v>2016/11/16</v>
      </c>
      <c r="J184" t="str">
        <f>"510"</f>
        <v>510</v>
      </c>
      <c r="K184" t="str">
        <f>"20590604"</f>
        <v>20590604</v>
      </c>
      <c r="L184" t="s">
        <v>18</v>
      </c>
      <c r="M184" t="str">
        <f>"20150817"</f>
        <v>20150817</v>
      </c>
    </row>
    <row r="185" spans="1:13" x14ac:dyDescent="0.25">
      <c r="A185" t="str">
        <f>"00315547"</f>
        <v>00315547</v>
      </c>
      <c r="B185" t="s">
        <v>27</v>
      </c>
      <c r="C185" t="s">
        <v>28</v>
      </c>
      <c r="D185" t="s">
        <v>25</v>
      </c>
      <c r="E185" t="s">
        <v>26</v>
      </c>
      <c r="F185" t="s">
        <v>17</v>
      </c>
      <c r="G185" t="str">
        <f>"02"</f>
        <v>02</v>
      </c>
      <c r="H185" t="str">
        <f>"7  "</f>
        <v xml:space="preserve">7  </v>
      </c>
      <c r="I185" t="str">
        <f>"2001/01/24"</f>
        <v>2001/01/24</v>
      </c>
      <c r="J185" t="str">
        <f>"533"</f>
        <v>533</v>
      </c>
      <c r="K185" t="s">
        <v>18</v>
      </c>
      <c r="L185" t="s">
        <v>18</v>
      </c>
      <c r="M185" t="str">
        <f>"19941018"</f>
        <v>19941018</v>
      </c>
    </row>
    <row r="186" spans="1:13" x14ac:dyDescent="0.25">
      <c r="A186" t="str">
        <f>"00648842"</f>
        <v>00648842</v>
      </c>
      <c r="B186" t="s">
        <v>41</v>
      </c>
      <c r="C186" t="s">
        <v>42</v>
      </c>
      <c r="D186" t="s">
        <v>15</v>
      </c>
      <c r="E186" t="s">
        <v>16</v>
      </c>
      <c r="F186" t="s">
        <v>17</v>
      </c>
      <c r="G186" t="str">
        <f>"02"</f>
        <v>02</v>
      </c>
      <c r="H186" t="str">
        <f>"3  "</f>
        <v xml:space="preserve">3  </v>
      </c>
      <c r="I186" t="str">
        <f>"2010/03/31"</f>
        <v>2010/03/31</v>
      </c>
      <c r="J186" t="str">
        <f>"110"</f>
        <v>110</v>
      </c>
      <c r="K186" t="str">
        <f>"20280121"</f>
        <v>20280121</v>
      </c>
      <c r="L186" t="s">
        <v>18</v>
      </c>
      <c r="M186" t="str">
        <f>"20090811"</f>
        <v>20090811</v>
      </c>
    </row>
    <row r="187" spans="1:13" x14ac:dyDescent="0.25">
      <c r="A187" t="str">
        <f>"00260380"</f>
        <v>00260380</v>
      </c>
      <c r="B187" t="s">
        <v>46</v>
      </c>
      <c r="C187" t="s">
        <v>49</v>
      </c>
      <c r="D187" t="s">
        <v>16</v>
      </c>
      <c r="E187" t="s">
        <v>16</v>
      </c>
      <c r="F187" t="s">
        <v>17</v>
      </c>
      <c r="G187" t="str">
        <f>"02"</f>
        <v>02</v>
      </c>
      <c r="H187" t="str">
        <f>"3  "</f>
        <v xml:space="preserve">3  </v>
      </c>
      <c r="I187" t="str">
        <f>"1996/03/08"</f>
        <v>1996/03/08</v>
      </c>
      <c r="J187" t="str">
        <f>"502"</f>
        <v>502</v>
      </c>
      <c r="K187" t="str">
        <f>"20201112"</f>
        <v>20201112</v>
      </c>
      <c r="L187" t="s">
        <v>18</v>
      </c>
      <c r="M187" t="str">
        <f>"19951006"</f>
        <v>19951006</v>
      </c>
    </row>
    <row r="188" spans="1:13" x14ac:dyDescent="0.25">
      <c r="A188" t="str">
        <f>"00516517"</f>
        <v>00516517</v>
      </c>
      <c r="B188" t="s">
        <v>46</v>
      </c>
      <c r="C188" t="s">
        <v>50</v>
      </c>
      <c r="D188" t="s">
        <v>51</v>
      </c>
      <c r="E188" t="s">
        <v>26</v>
      </c>
      <c r="F188" t="s">
        <v>17</v>
      </c>
      <c r="G188" t="str">
        <f>"02"</f>
        <v>02</v>
      </c>
      <c r="H188" t="str">
        <f>"3  "</f>
        <v xml:space="preserve">3  </v>
      </c>
      <c r="I188" t="str">
        <f>"2020/09/18"</f>
        <v>2020/09/18</v>
      </c>
      <c r="J188" t="str">
        <f>"504"</f>
        <v>504</v>
      </c>
      <c r="K188" t="str">
        <f>"20201207"</f>
        <v>20201207</v>
      </c>
      <c r="L188" t="s">
        <v>18</v>
      </c>
      <c r="M188" t="str">
        <f>"20161205"</f>
        <v>20161205</v>
      </c>
    </row>
    <row r="189" spans="1:13" x14ac:dyDescent="0.25">
      <c r="A189" t="str">
        <f>"00232711"</f>
        <v>00232711</v>
      </c>
      <c r="B189" t="s">
        <v>56</v>
      </c>
      <c r="C189" t="s">
        <v>60</v>
      </c>
      <c r="D189" t="s">
        <v>61</v>
      </c>
      <c r="E189" t="s">
        <v>26</v>
      </c>
      <c r="F189" t="s">
        <v>17</v>
      </c>
      <c r="G189" t="str">
        <f>"02"</f>
        <v>02</v>
      </c>
      <c r="H189" t="str">
        <f>"3  "</f>
        <v xml:space="preserve">3  </v>
      </c>
      <c r="I189" t="str">
        <f>"2018/01/25"</f>
        <v>2018/01/25</v>
      </c>
      <c r="J189" t="str">
        <f>"510"</f>
        <v>510</v>
      </c>
      <c r="K189" t="str">
        <f>"20280220"</f>
        <v>20280220</v>
      </c>
      <c r="L189" t="s">
        <v>18</v>
      </c>
      <c r="M189" t="str">
        <f>"20170209"</f>
        <v>20170209</v>
      </c>
    </row>
    <row r="190" spans="1:13" x14ac:dyDescent="0.25">
      <c r="A190" t="str">
        <f>"00527425"</f>
        <v>00527425</v>
      </c>
      <c r="B190" t="s">
        <v>69</v>
      </c>
      <c r="C190" t="s">
        <v>71</v>
      </c>
      <c r="D190" t="s">
        <v>15</v>
      </c>
      <c r="E190" t="s">
        <v>26</v>
      </c>
      <c r="F190" t="s">
        <v>17</v>
      </c>
      <c r="G190" t="str">
        <f>"02"</f>
        <v>02</v>
      </c>
      <c r="H190" t="str">
        <f>"3  "</f>
        <v xml:space="preserve">3  </v>
      </c>
      <c r="I190" t="str">
        <f>"2016/06/27"</f>
        <v>2016/06/27</v>
      </c>
      <c r="J190" t="str">
        <f>"110"</f>
        <v>110</v>
      </c>
      <c r="K190" t="str">
        <f>"20211118"</f>
        <v>20211118</v>
      </c>
      <c r="L190" t="s">
        <v>18</v>
      </c>
      <c r="M190" t="str">
        <f>"20150831"</f>
        <v>20150831</v>
      </c>
    </row>
    <row r="191" spans="1:13" x14ac:dyDescent="0.25">
      <c r="A191" t="str">
        <f>"00159918"</f>
        <v>00159918</v>
      </c>
      <c r="B191" t="s">
        <v>69</v>
      </c>
      <c r="C191" t="s">
        <v>22</v>
      </c>
      <c r="D191" t="s">
        <v>15</v>
      </c>
      <c r="E191" t="s">
        <v>16</v>
      </c>
      <c r="F191" t="s">
        <v>17</v>
      </c>
      <c r="G191" t="str">
        <f>"02"</f>
        <v>02</v>
      </c>
      <c r="H191" t="str">
        <f>"3  "</f>
        <v xml:space="preserve">3  </v>
      </c>
      <c r="I191" t="str">
        <f>"2020/07/08"</f>
        <v>2020/07/08</v>
      </c>
      <c r="J191" t="str">
        <f>"503"</f>
        <v>503</v>
      </c>
      <c r="K191" t="str">
        <f>"20330224"</f>
        <v>20330224</v>
      </c>
      <c r="L191" t="s">
        <v>18</v>
      </c>
      <c r="M191" t="str">
        <f>"20150716"</f>
        <v>20150716</v>
      </c>
    </row>
    <row r="192" spans="1:13" x14ac:dyDescent="0.25">
      <c r="A192" t="str">
        <f>"00330969"</f>
        <v>00330969</v>
      </c>
      <c r="B192" t="s">
        <v>78</v>
      </c>
      <c r="C192" t="s">
        <v>79</v>
      </c>
      <c r="D192" t="s">
        <v>80</v>
      </c>
      <c r="E192" t="s">
        <v>16</v>
      </c>
      <c r="F192" t="s">
        <v>17</v>
      </c>
      <c r="G192" t="str">
        <f>"02"</f>
        <v>02</v>
      </c>
      <c r="H192" t="str">
        <f>"7  "</f>
        <v xml:space="preserve">7  </v>
      </c>
      <c r="I192" t="str">
        <f>"2015/04/24"</f>
        <v>2015/04/24</v>
      </c>
      <c r="J192" t="str">
        <f>"531"</f>
        <v>531</v>
      </c>
      <c r="K192" t="s">
        <v>18</v>
      </c>
      <c r="L192" t="s">
        <v>18</v>
      </c>
      <c r="M192" t="str">
        <f>"19950705"</f>
        <v>19950705</v>
      </c>
    </row>
    <row r="193" spans="1:13" x14ac:dyDescent="0.25">
      <c r="A193" t="str">
        <f>"00140124"</f>
        <v>00140124</v>
      </c>
      <c r="B193" t="s">
        <v>89</v>
      </c>
      <c r="C193" t="s">
        <v>90</v>
      </c>
      <c r="D193" t="s">
        <v>91</v>
      </c>
      <c r="E193" t="s">
        <v>26</v>
      </c>
      <c r="F193" t="s">
        <v>17</v>
      </c>
      <c r="G193" t="str">
        <f>"02"</f>
        <v>02</v>
      </c>
      <c r="H193" t="str">
        <f>"7  "</f>
        <v xml:space="preserve">7  </v>
      </c>
      <c r="I193" t="str">
        <f>"1981/10/29"</f>
        <v>1981/10/29</v>
      </c>
      <c r="J193" t="str">
        <f>"114"</f>
        <v>114</v>
      </c>
      <c r="K193" t="s">
        <v>18</v>
      </c>
      <c r="L193" t="str">
        <f>"20181126"</f>
        <v>20181126</v>
      </c>
      <c r="M193" t="str">
        <f>"19800809"</f>
        <v>19800809</v>
      </c>
    </row>
    <row r="194" spans="1:13" x14ac:dyDescent="0.25">
      <c r="A194" t="str">
        <f>"00378763"</f>
        <v>00378763</v>
      </c>
      <c r="B194" t="s">
        <v>92</v>
      </c>
      <c r="C194" t="s">
        <v>44</v>
      </c>
      <c r="D194" t="s">
        <v>25</v>
      </c>
      <c r="E194" t="s">
        <v>16</v>
      </c>
      <c r="F194" t="s">
        <v>17</v>
      </c>
      <c r="G194" t="str">
        <f>"02"</f>
        <v>02</v>
      </c>
      <c r="H194" t="str">
        <f>"3  "</f>
        <v xml:space="preserve">3  </v>
      </c>
      <c r="I194" t="str">
        <f>"2006/09/12"</f>
        <v>2006/09/12</v>
      </c>
      <c r="J194" t="str">
        <f>"510"</f>
        <v>510</v>
      </c>
      <c r="K194" t="str">
        <f>"20230815"</f>
        <v>20230815</v>
      </c>
      <c r="L194" t="s">
        <v>18</v>
      </c>
      <c r="M194" t="str">
        <f>"20050613"</f>
        <v>20050613</v>
      </c>
    </row>
    <row r="195" spans="1:13" x14ac:dyDescent="0.25">
      <c r="A195" t="str">
        <f>"00377375"</f>
        <v>00377375</v>
      </c>
      <c r="B195" t="s">
        <v>93</v>
      </c>
      <c r="C195" t="s">
        <v>94</v>
      </c>
      <c r="D195" t="s">
        <v>25</v>
      </c>
      <c r="E195" t="s">
        <v>26</v>
      </c>
      <c r="F195" t="s">
        <v>17</v>
      </c>
      <c r="G195" t="str">
        <f>"02"</f>
        <v>02</v>
      </c>
      <c r="H195" t="str">
        <f>"3  "</f>
        <v xml:space="preserve">3  </v>
      </c>
      <c r="I195" t="str">
        <f>"2016/11/17"</f>
        <v>2016/11/17</v>
      </c>
      <c r="J195" t="str">
        <f>"510"</f>
        <v>510</v>
      </c>
      <c r="K195" t="str">
        <f>"20291218"</f>
        <v>20291218</v>
      </c>
      <c r="L195" t="s">
        <v>18</v>
      </c>
      <c r="M195" t="str">
        <f>"20150312"</f>
        <v>20150312</v>
      </c>
    </row>
    <row r="196" spans="1:13" x14ac:dyDescent="0.25">
      <c r="A196" t="str">
        <f>"00165460"</f>
        <v>00165460</v>
      </c>
      <c r="B196" t="s">
        <v>95</v>
      </c>
      <c r="C196" t="s">
        <v>96</v>
      </c>
      <c r="D196" t="s">
        <v>97</v>
      </c>
      <c r="E196" t="s">
        <v>26</v>
      </c>
      <c r="F196" t="s">
        <v>17</v>
      </c>
      <c r="G196" t="str">
        <f>"02"</f>
        <v>02</v>
      </c>
      <c r="H196" t="str">
        <f>"7  "</f>
        <v xml:space="preserve">7  </v>
      </c>
      <c r="I196" t="str">
        <f>"2000/01/14"</f>
        <v>2000/01/14</v>
      </c>
      <c r="J196" t="str">
        <f>"532"</f>
        <v>532</v>
      </c>
      <c r="K196" t="s">
        <v>18</v>
      </c>
      <c r="L196" t="s">
        <v>18</v>
      </c>
      <c r="M196" t="str">
        <f>"19791222"</f>
        <v>19791222</v>
      </c>
    </row>
    <row r="197" spans="1:13" x14ac:dyDescent="0.25">
      <c r="A197" t="str">
        <f>"00483084"</f>
        <v>00483084</v>
      </c>
      <c r="B197" t="s">
        <v>98</v>
      </c>
      <c r="C197" t="s">
        <v>100</v>
      </c>
      <c r="D197" t="s">
        <v>40</v>
      </c>
      <c r="E197" t="s">
        <v>16</v>
      </c>
      <c r="F197" t="s">
        <v>17</v>
      </c>
      <c r="G197" t="str">
        <f>"02"</f>
        <v>02</v>
      </c>
      <c r="H197" t="str">
        <f>"7  "</f>
        <v xml:space="preserve">7  </v>
      </c>
      <c r="I197" t="str">
        <f>"2014/01/29"</f>
        <v>2014/01/29</v>
      </c>
      <c r="J197" t="str">
        <f>"510"</f>
        <v>510</v>
      </c>
      <c r="K197" t="s">
        <v>18</v>
      </c>
      <c r="L197" t="s">
        <v>18</v>
      </c>
      <c r="M197" t="str">
        <f>"20120826"</f>
        <v>20120826</v>
      </c>
    </row>
    <row r="198" spans="1:13" x14ac:dyDescent="0.25">
      <c r="A198" t="str">
        <f>"00558921"</f>
        <v>00558921</v>
      </c>
      <c r="B198" t="s">
        <v>98</v>
      </c>
      <c r="C198" t="s">
        <v>101</v>
      </c>
      <c r="D198" t="s">
        <v>25</v>
      </c>
      <c r="E198" t="s">
        <v>26</v>
      </c>
      <c r="F198" t="s">
        <v>17</v>
      </c>
      <c r="G198" t="str">
        <f>"02"</f>
        <v>02</v>
      </c>
      <c r="H198" t="str">
        <f>"3  "</f>
        <v xml:space="preserve">3  </v>
      </c>
      <c r="I198" t="str">
        <f>"2018/07/12"</f>
        <v>2018/07/12</v>
      </c>
      <c r="J198" t="str">
        <f>"510"</f>
        <v>510</v>
      </c>
      <c r="K198" t="str">
        <f>"20211116"</f>
        <v>20211116</v>
      </c>
      <c r="L198" t="s">
        <v>18</v>
      </c>
      <c r="M198" t="str">
        <f>"20170531"</f>
        <v>20170531</v>
      </c>
    </row>
    <row r="199" spans="1:13" x14ac:dyDescent="0.25">
      <c r="A199" t="str">
        <f>"00190573"</f>
        <v>00190573</v>
      </c>
      <c r="B199" t="s">
        <v>105</v>
      </c>
      <c r="C199" t="s">
        <v>106</v>
      </c>
      <c r="D199" t="s">
        <v>107</v>
      </c>
      <c r="E199" t="s">
        <v>26</v>
      </c>
      <c r="F199" t="s">
        <v>17</v>
      </c>
      <c r="G199" t="str">
        <f>"02"</f>
        <v>02</v>
      </c>
      <c r="H199" t="str">
        <f>"7  "</f>
        <v xml:space="preserve">7  </v>
      </c>
      <c r="I199" t="str">
        <f>"2008/09/19"</f>
        <v>2008/09/19</v>
      </c>
      <c r="J199" t="str">
        <f>"533"</f>
        <v>533</v>
      </c>
      <c r="K199" t="s">
        <v>18</v>
      </c>
      <c r="L199" t="s">
        <v>18</v>
      </c>
      <c r="M199" t="str">
        <f>"19900307"</f>
        <v>19900307</v>
      </c>
    </row>
    <row r="200" spans="1:13" x14ac:dyDescent="0.25">
      <c r="A200" t="str">
        <f>"00410158"</f>
        <v>00410158</v>
      </c>
      <c r="B200" t="s">
        <v>108</v>
      </c>
      <c r="C200" t="s">
        <v>109</v>
      </c>
      <c r="D200" t="s">
        <v>31</v>
      </c>
      <c r="E200" t="s">
        <v>16</v>
      </c>
      <c r="F200" t="s">
        <v>17</v>
      </c>
      <c r="G200" t="str">
        <f>"02"</f>
        <v>02</v>
      </c>
      <c r="H200" t="str">
        <f>"3  "</f>
        <v xml:space="preserve">3  </v>
      </c>
      <c r="I200" t="str">
        <f>"2012/08/30"</f>
        <v>2012/08/30</v>
      </c>
      <c r="J200" t="str">
        <f>"510"</f>
        <v>510</v>
      </c>
      <c r="K200" t="str">
        <f>"20210503"</f>
        <v>20210503</v>
      </c>
      <c r="L200" t="s">
        <v>18</v>
      </c>
      <c r="M200" t="str">
        <f>"20110623"</f>
        <v>20110623</v>
      </c>
    </row>
    <row r="201" spans="1:13" x14ac:dyDescent="0.25">
      <c r="A201" t="str">
        <f>"00860476"</f>
        <v>00860476</v>
      </c>
      <c r="B201" t="s">
        <v>114</v>
      </c>
      <c r="C201" t="s">
        <v>115</v>
      </c>
      <c r="D201" t="s">
        <v>45</v>
      </c>
      <c r="E201" t="s">
        <v>26</v>
      </c>
      <c r="F201" t="s">
        <v>17</v>
      </c>
      <c r="G201" t="str">
        <f>"02"</f>
        <v>02</v>
      </c>
      <c r="H201" t="str">
        <f>"3  "</f>
        <v xml:space="preserve">3  </v>
      </c>
      <c r="I201" t="str">
        <f>"2020/03/11"</f>
        <v>2020/03/11</v>
      </c>
      <c r="J201" t="str">
        <f>"510"</f>
        <v>510</v>
      </c>
      <c r="K201" t="str">
        <f>"20331116"</f>
        <v>20331116</v>
      </c>
      <c r="L201" t="s">
        <v>18</v>
      </c>
      <c r="M201" t="str">
        <f>"20170821"</f>
        <v>20170821</v>
      </c>
    </row>
    <row r="202" spans="1:13" x14ac:dyDescent="0.25">
      <c r="A202" t="str">
        <f>"00445040"</f>
        <v>00445040</v>
      </c>
      <c r="B202" t="s">
        <v>114</v>
      </c>
      <c r="C202" t="s">
        <v>119</v>
      </c>
      <c r="D202" t="s">
        <v>51</v>
      </c>
      <c r="E202" t="s">
        <v>26</v>
      </c>
      <c r="F202" t="s">
        <v>17</v>
      </c>
      <c r="G202" t="str">
        <f>"02"</f>
        <v>02</v>
      </c>
      <c r="H202" t="str">
        <f>"3  "</f>
        <v xml:space="preserve">3  </v>
      </c>
      <c r="I202" t="str">
        <f>"2016/10/03"</f>
        <v>2016/10/03</v>
      </c>
      <c r="J202" t="str">
        <f>"510"</f>
        <v>510</v>
      </c>
      <c r="K202" t="str">
        <f>"20380131"</f>
        <v>20380131</v>
      </c>
      <c r="L202" t="s">
        <v>18</v>
      </c>
      <c r="M202" t="str">
        <f>"20160603"</f>
        <v>20160603</v>
      </c>
    </row>
    <row r="203" spans="1:13" x14ac:dyDescent="0.25">
      <c r="A203" t="str">
        <f>"00785745"</f>
        <v>00785745</v>
      </c>
      <c r="B203" t="s">
        <v>114</v>
      </c>
      <c r="C203" t="s">
        <v>96</v>
      </c>
      <c r="D203" t="s">
        <v>121</v>
      </c>
      <c r="E203" t="s">
        <v>16</v>
      </c>
      <c r="F203" t="s">
        <v>17</v>
      </c>
      <c r="G203" t="str">
        <f>"02"</f>
        <v>02</v>
      </c>
      <c r="H203" t="str">
        <f>"3  "</f>
        <v xml:space="preserve">3  </v>
      </c>
      <c r="I203" t="str">
        <f>"2018/08/27"</f>
        <v>2018/08/27</v>
      </c>
      <c r="J203" t="str">
        <f>"503"</f>
        <v>503</v>
      </c>
      <c r="K203" t="str">
        <f>"20421021"</f>
        <v>20421021</v>
      </c>
      <c r="L203" t="s">
        <v>18</v>
      </c>
      <c r="M203" t="str">
        <f>"20150131"</f>
        <v>20150131</v>
      </c>
    </row>
    <row r="204" spans="1:13" x14ac:dyDescent="0.25">
      <c r="A204" t="str">
        <f>"00441825"</f>
        <v>00441825</v>
      </c>
      <c r="B204" t="s">
        <v>114</v>
      </c>
      <c r="C204" t="s">
        <v>127</v>
      </c>
      <c r="D204" t="s">
        <v>25</v>
      </c>
      <c r="E204" t="s">
        <v>26</v>
      </c>
      <c r="F204" t="s">
        <v>17</v>
      </c>
      <c r="G204" t="str">
        <f>"02"</f>
        <v>02</v>
      </c>
      <c r="H204" t="str">
        <f>"3  "</f>
        <v xml:space="preserve">3  </v>
      </c>
      <c r="I204" t="str">
        <f>"2019/03/11"</f>
        <v>2019/03/11</v>
      </c>
      <c r="J204" t="str">
        <f>"510"</f>
        <v>510</v>
      </c>
      <c r="K204" t="str">
        <f>"20220817"</f>
        <v>20220817</v>
      </c>
      <c r="L204" t="s">
        <v>18</v>
      </c>
      <c r="M204" t="str">
        <f>"20190124"</f>
        <v>20190124</v>
      </c>
    </row>
    <row r="205" spans="1:13" x14ac:dyDescent="0.25">
      <c r="A205" t="str">
        <f>"00190197"</f>
        <v>00190197</v>
      </c>
      <c r="B205" t="s">
        <v>129</v>
      </c>
      <c r="C205" t="s">
        <v>130</v>
      </c>
      <c r="D205" t="s">
        <v>31</v>
      </c>
      <c r="E205" t="s">
        <v>26</v>
      </c>
      <c r="F205" t="s">
        <v>17</v>
      </c>
      <c r="G205" t="str">
        <f>"02"</f>
        <v>02</v>
      </c>
      <c r="H205" t="str">
        <f>"7  "</f>
        <v xml:space="preserve">7  </v>
      </c>
      <c r="I205" t="str">
        <f>"2007/01/23"</f>
        <v>2007/01/23</v>
      </c>
      <c r="J205" t="str">
        <f>"510"</f>
        <v>510</v>
      </c>
      <c r="K205" t="s">
        <v>18</v>
      </c>
      <c r="L205" t="s">
        <v>18</v>
      </c>
      <c r="M205" t="str">
        <f>"20051220"</f>
        <v>20051220</v>
      </c>
    </row>
    <row r="206" spans="1:13" x14ac:dyDescent="0.25">
      <c r="A206" t="str">
        <f>"00374542"</f>
        <v>00374542</v>
      </c>
      <c r="B206" t="s">
        <v>134</v>
      </c>
      <c r="C206" t="s">
        <v>135</v>
      </c>
      <c r="D206" t="s">
        <v>37</v>
      </c>
      <c r="E206" t="s">
        <v>26</v>
      </c>
      <c r="F206" t="s">
        <v>17</v>
      </c>
      <c r="G206" t="str">
        <f>"02"</f>
        <v>02</v>
      </c>
      <c r="H206" t="str">
        <f>"3  "</f>
        <v xml:space="preserve">3  </v>
      </c>
      <c r="I206" t="str">
        <f>"2012/11/24"</f>
        <v>2012/11/24</v>
      </c>
      <c r="J206" t="str">
        <f>"110"</f>
        <v>110</v>
      </c>
      <c r="K206" t="str">
        <f>"20420214"</f>
        <v>20420214</v>
      </c>
      <c r="L206" t="s">
        <v>18</v>
      </c>
      <c r="M206" t="str">
        <f>"20121116"</f>
        <v>20121116</v>
      </c>
    </row>
    <row r="207" spans="1:13" x14ac:dyDescent="0.25">
      <c r="A207" t="str">
        <f>"00499732"</f>
        <v>00499732</v>
      </c>
      <c r="B207" t="s">
        <v>134</v>
      </c>
      <c r="C207" t="s">
        <v>136</v>
      </c>
      <c r="D207" t="s">
        <v>25</v>
      </c>
      <c r="E207" t="s">
        <v>26</v>
      </c>
      <c r="F207" t="s">
        <v>17</v>
      </c>
      <c r="G207" t="str">
        <f>"02"</f>
        <v>02</v>
      </c>
      <c r="H207" t="str">
        <f>"3  "</f>
        <v xml:space="preserve">3  </v>
      </c>
      <c r="I207" t="str">
        <f>"2020/07/21"</f>
        <v>2020/07/21</v>
      </c>
      <c r="J207" t="str">
        <f>"533"</f>
        <v>533</v>
      </c>
      <c r="K207" t="str">
        <f>"20290831"</f>
        <v>20290831</v>
      </c>
      <c r="L207" t="s">
        <v>18</v>
      </c>
      <c r="M207" t="str">
        <f>"20160502"</f>
        <v>20160502</v>
      </c>
    </row>
    <row r="208" spans="1:13" x14ac:dyDescent="0.25">
      <c r="A208" t="str">
        <f>"00830651"</f>
        <v>00830651</v>
      </c>
      <c r="B208" t="s">
        <v>141</v>
      </c>
      <c r="C208" t="s">
        <v>120</v>
      </c>
      <c r="D208" t="s">
        <v>142</v>
      </c>
      <c r="E208" t="s">
        <v>16</v>
      </c>
      <c r="F208" t="s">
        <v>17</v>
      </c>
      <c r="G208" t="str">
        <f>"02"</f>
        <v>02</v>
      </c>
      <c r="H208" t="str">
        <f>"3  "</f>
        <v xml:space="preserve">3  </v>
      </c>
      <c r="I208" t="str">
        <f>"2020/07/30"</f>
        <v>2020/07/30</v>
      </c>
      <c r="J208" t="str">
        <f>"534"</f>
        <v>534</v>
      </c>
      <c r="K208" t="str">
        <f>"20261123"</f>
        <v>20261123</v>
      </c>
      <c r="L208" t="s">
        <v>18</v>
      </c>
      <c r="M208" t="str">
        <f>"20161213"</f>
        <v>20161213</v>
      </c>
    </row>
    <row r="209" spans="1:13" x14ac:dyDescent="0.25">
      <c r="A209" t="str">
        <f>"00874107"</f>
        <v>00874107</v>
      </c>
      <c r="B209" t="s">
        <v>143</v>
      </c>
      <c r="C209" t="s">
        <v>144</v>
      </c>
      <c r="D209" t="s">
        <v>25</v>
      </c>
      <c r="E209" t="s">
        <v>26</v>
      </c>
      <c r="F209" t="s">
        <v>17</v>
      </c>
      <c r="G209" t="str">
        <f>"02"</f>
        <v>02</v>
      </c>
      <c r="H209" t="str">
        <f>"3  "</f>
        <v xml:space="preserve">3  </v>
      </c>
      <c r="I209" t="str">
        <f>"2018/08/27"</f>
        <v>2018/08/27</v>
      </c>
      <c r="J209" t="str">
        <f>"503"</f>
        <v>503</v>
      </c>
      <c r="K209" t="str">
        <f>"20580410"</f>
        <v>20580410</v>
      </c>
      <c r="L209" t="s">
        <v>18</v>
      </c>
      <c r="M209" t="str">
        <f>"20130410"</f>
        <v>20130410</v>
      </c>
    </row>
    <row r="210" spans="1:13" x14ac:dyDescent="0.25">
      <c r="A210" t="str">
        <f>"00257538"</f>
        <v>00257538</v>
      </c>
      <c r="B210" t="s">
        <v>147</v>
      </c>
      <c r="C210" t="s">
        <v>148</v>
      </c>
      <c r="D210" t="s">
        <v>25</v>
      </c>
      <c r="E210" t="s">
        <v>26</v>
      </c>
      <c r="F210" t="s">
        <v>17</v>
      </c>
      <c r="G210" t="str">
        <f>"02"</f>
        <v>02</v>
      </c>
      <c r="H210" t="str">
        <f>"3  "</f>
        <v xml:space="preserve">3  </v>
      </c>
      <c r="I210" t="str">
        <f>"2019/04/01"</f>
        <v>2019/04/01</v>
      </c>
      <c r="J210" t="str">
        <f>"510"</f>
        <v>510</v>
      </c>
      <c r="K210" t="str">
        <f>"20211123"</f>
        <v>20211123</v>
      </c>
      <c r="L210" t="s">
        <v>18</v>
      </c>
      <c r="M210" t="str">
        <f>"20150224"</f>
        <v>20150224</v>
      </c>
    </row>
    <row r="211" spans="1:13" x14ac:dyDescent="0.25">
      <c r="A211" t="str">
        <f>"00568345"</f>
        <v>00568345</v>
      </c>
      <c r="B211" t="s">
        <v>153</v>
      </c>
      <c r="C211" t="s">
        <v>154</v>
      </c>
      <c r="D211" t="s">
        <v>25</v>
      </c>
      <c r="E211" t="s">
        <v>26</v>
      </c>
      <c r="F211" t="s">
        <v>17</v>
      </c>
      <c r="G211" t="str">
        <f>"02"</f>
        <v>02</v>
      </c>
      <c r="H211" t="str">
        <f>"3  "</f>
        <v xml:space="preserve">3  </v>
      </c>
      <c r="I211" t="str">
        <f>"2019/03/22"</f>
        <v>2019/03/22</v>
      </c>
      <c r="J211" t="str">
        <f>"510"</f>
        <v>510</v>
      </c>
      <c r="K211" t="str">
        <f>"20271114"</f>
        <v>20271114</v>
      </c>
      <c r="L211" t="s">
        <v>18</v>
      </c>
      <c r="M211" t="str">
        <f>"20181030"</f>
        <v>20181030</v>
      </c>
    </row>
    <row r="212" spans="1:13" x14ac:dyDescent="0.25">
      <c r="A212" t="str">
        <f>"00338248"</f>
        <v>00338248</v>
      </c>
      <c r="B212" t="s">
        <v>153</v>
      </c>
      <c r="C212" t="s">
        <v>156</v>
      </c>
      <c r="D212" t="s">
        <v>25</v>
      </c>
      <c r="E212" t="s">
        <v>26</v>
      </c>
      <c r="F212" t="s">
        <v>17</v>
      </c>
      <c r="G212" t="str">
        <f>"02"</f>
        <v>02</v>
      </c>
      <c r="H212" t="str">
        <f>"3  "</f>
        <v xml:space="preserve">3  </v>
      </c>
      <c r="I212" t="str">
        <f>"2019/11/08"</f>
        <v>2019/11/08</v>
      </c>
      <c r="J212" t="str">
        <f>"510"</f>
        <v>510</v>
      </c>
      <c r="K212" t="str">
        <f>"20400421"</f>
        <v>20400421</v>
      </c>
      <c r="L212" t="s">
        <v>18</v>
      </c>
      <c r="M212" t="str">
        <f>"20171027"</f>
        <v>20171027</v>
      </c>
    </row>
    <row r="213" spans="1:13" x14ac:dyDescent="0.25">
      <c r="A213" t="str">
        <f>"00420167"</f>
        <v>00420167</v>
      </c>
      <c r="B213" t="s">
        <v>153</v>
      </c>
      <c r="C213" t="s">
        <v>158</v>
      </c>
      <c r="D213" t="s">
        <v>25</v>
      </c>
      <c r="E213" t="s">
        <v>26</v>
      </c>
      <c r="F213" t="s">
        <v>17</v>
      </c>
      <c r="G213" t="str">
        <f>"02"</f>
        <v>02</v>
      </c>
      <c r="H213" t="str">
        <f>"7  "</f>
        <v xml:space="preserve">7  </v>
      </c>
      <c r="I213" t="str">
        <f>"2018/02/12"</f>
        <v>2018/02/12</v>
      </c>
      <c r="J213" t="str">
        <f>"510"</f>
        <v>510</v>
      </c>
      <c r="K213" t="s">
        <v>18</v>
      </c>
      <c r="L213" t="s">
        <v>18</v>
      </c>
      <c r="M213" t="str">
        <f>"20150923"</f>
        <v>20150923</v>
      </c>
    </row>
    <row r="214" spans="1:13" x14ac:dyDescent="0.25">
      <c r="A214" t="str">
        <f>"00367464"</f>
        <v>00367464</v>
      </c>
      <c r="B214" t="s">
        <v>153</v>
      </c>
      <c r="C214" t="s">
        <v>160</v>
      </c>
      <c r="D214" t="s">
        <v>51</v>
      </c>
      <c r="E214" t="s">
        <v>26</v>
      </c>
      <c r="F214" t="s">
        <v>17</v>
      </c>
      <c r="G214" t="str">
        <f>"02"</f>
        <v>02</v>
      </c>
      <c r="H214" t="str">
        <f>"3  "</f>
        <v xml:space="preserve">3  </v>
      </c>
      <c r="I214" t="str">
        <f>"2020/01/10"</f>
        <v>2020/01/10</v>
      </c>
      <c r="J214" t="str">
        <f>"510"</f>
        <v>510</v>
      </c>
      <c r="K214" t="str">
        <f>"20280421"</f>
        <v>20280421</v>
      </c>
      <c r="L214" t="s">
        <v>18</v>
      </c>
      <c r="M214" t="str">
        <f>"20181206"</f>
        <v>20181206</v>
      </c>
    </row>
    <row r="215" spans="1:13" x14ac:dyDescent="0.25">
      <c r="A215" t="str">
        <f>"00417279"</f>
        <v>00417279</v>
      </c>
      <c r="B215" t="s">
        <v>153</v>
      </c>
      <c r="C215" t="s">
        <v>161</v>
      </c>
      <c r="D215" t="s">
        <v>61</v>
      </c>
      <c r="E215" t="s">
        <v>26</v>
      </c>
      <c r="F215" t="s">
        <v>17</v>
      </c>
      <c r="G215" t="str">
        <f>"02"</f>
        <v>02</v>
      </c>
      <c r="H215" t="str">
        <f>"3  "</f>
        <v xml:space="preserve">3  </v>
      </c>
      <c r="I215" t="str">
        <f>"2019/01/11"</f>
        <v>2019/01/11</v>
      </c>
      <c r="J215" t="str">
        <f>"510"</f>
        <v>510</v>
      </c>
      <c r="K215" t="str">
        <f>"20401121"</f>
        <v>20401121</v>
      </c>
      <c r="L215" t="s">
        <v>18</v>
      </c>
      <c r="M215" t="str">
        <f>"20170523"</f>
        <v>20170523</v>
      </c>
    </row>
    <row r="216" spans="1:13" x14ac:dyDescent="0.25">
      <c r="A216" t="str">
        <f>"00434139"</f>
        <v>00434139</v>
      </c>
      <c r="B216" t="s">
        <v>153</v>
      </c>
      <c r="C216" t="s">
        <v>162</v>
      </c>
      <c r="D216" t="s">
        <v>91</v>
      </c>
      <c r="E216" t="s">
        <v>26</v>
      </c>
      <c r="F216" t="s">
        <v>17</v>
      </c>
      <c r="G216" t="str">
        <f>"02"</f>
        <v>02</v>
      </c>
      <c r="H216" t="str">
        <f>"3  "</f>
        <v xml:space="preserve">3  </v>
      </c>
      <c r="I216" t="str">
        <f>"2020/09/02"</f>
        <v>2020/09/02</v>
      </c>
      <c r="J216" t="str">
        <f>"533"</f>
        <v>533</v>
      </c>
      <c r="K216" t="str">
        <f>"20250829"</f>
        <v>20250829</v>
      </c>
      <c r="L216" t="s">
        <v>18</v>
      </c>
      <c r="M216" t="str">
        <f>"20150208"</f>
        <v>20150208</v>
      </c>
    </row>
    <row r="217" spans="1:13" x14ac:dyDescent="0.25">
      <c r="A217" t="str">
        <f>"00225954"</f>
        <v>00225954</v>
      </c>
      <c r="B217" t="s">
        <v>153</v>
      </c>
      <c r="C217" t="s">
        <v>163</v>
      </c>
      <c r="D217" t="s">
        <v>91</v>
      </c>
      <c r="E217" t="s">
        <v>26</v>
      </c>
      <c r="F217" t="s">
        <v>17</v>
      </c>
      <c r="G217" t="str">
        <f>"02"</f>
        <v>02</v>
      </c>
      <c r="H217" t="str">
        <f>"7  "</f>
        <v xml:space="preserve">7  </v>
      </c>
      <c r="I217" t="str">
        <f>"2002/11/05"</f>
        <v>2002/11/05</v>
      </c>
      <c r="J217" t="str">
        <f>"532"</f>
        <v>532</v>
      </c>
      <c r="K217" t="s">
        <v>18</v>
      </c>
      <c r="L217" t="s">
        <v>18</v>
      </c>
      <c r="M217" t="str">
        <f>"19910828"</f>
        <v>19910828</v>
      </c>
    </row>
    <row r="218" spans="1:13" x14ac:dyDescent="0.25">
      <c r="A218" t="str">
        <f>"00141110"</f>
        <v>00141110</v>
      </c>
      <c r="B218" t="s">
        <v>153</v>
      </c>
      <c r="C218" t="s">
        <v>164</v>
      </c>
      <c r="D218" t="s">
        <v>80</v>
      </c>
      <c r="E218" t="s">
        <v>26</v>
      </c>
      <c r="F218" t="s">
        <v>17</v>
      </c>
      <c r="G218" t="str">
        <f>"02"</f>
        <v>02</v>
      </c>
      <c r="H218" t="str">
        <f>"3  "</f>
        <v xml:space="preserve">3  </v>
      </c>
      <c r="I218" t="str">
        <f>"1996/05/31"</f>
        <v>1996/05/31</v>
      </c>
      <c r="J218" t="str">
        <f>"502"</f>
        <v>502</v>
      </c>
      <c r="K218" t="str">
        <f>"20370104"</f>
        <v>20370104</v>
      </c>
      <c r="L218" t="s">
        <v>18</v>
      </c>
      <c r="M218" t="str">
        <f>"19940302"</f>
        <v>19940302</v>
      </c>
    </row>
    <row r="219" spans="1:13" x14ac:dyDescent="0.25">
      <c r="A219" t="str">
        <f>"00231240"</f>
        <v>00231240</v>
      </c>
      <c r="B219" t="s">
        <v>153</v>
      </c>
      <c r="C219" t="s">
        <v>165</v>
      </c>
      <c r="D219" t="s">
        <v>37</v>
      </c>
      <c r="E219" t="s">
        <v>26</v>
      </c>
      <c r="F219" t="s">
        <v>17</v>
      </c>
      <c r="G219" t="str">
        <f>"02"</f>
        <v>02</v>
      </c>
      <c r="H219" t="str">
        <f>"3  "</f>
        <v xml:space="preserve">3  </v>
      </c>
      <c r="I219" t="str">
        <f>"1992/09/29"</f>
        <v>1992/09/29</v>
      </c>
      <c r="J219" t="str">
        <f>"510"</f>
        <v>510</v>
      </c>
      <c r="K219" t="str">
        <f>"20270201"</f>
        <v>20270201</v>
      </c>
      <c r="L219" t="s">
        <v>18</v>
      </c>
      <c r="M219" t="str">
        <f>"19911002"</f>
        <v>19911002</v>
      </c>
    </row>
    <row r="220" spans="1:13" x14ac:dyDescent="0.25">
      <c r="A220" t="str">
        <f>"00590700"</f>
        <v>00590700</v>
      </c>
      <c r="B220" t="s">
        <v>153</v>
      </c>
      <c r="C220" t="s">
        <v>62</v>
      </c>
      <c r="D220" t="s">
        <v>16</v>
      </c>
      <c r="E220" t="s">
        <v>26</v>
      </c>
      <c r="F220" t="s">
        <v>17</v>
      </c>
      <c r="G220" t="str">
        <f>"02"</f>
        <v>02</v>
      </c>
      <c r="H220" t="str">
        <f>"3  "</f>
        <v xml:space="preserve">3  </v>
      </c>
      <c r="I220" t="str">
        <f>"2018/05/07"</f>
        <v>2018/05/07</v>
      </c>
      <c r="J220" t="str">
        <f>"510"</f>
        <v>510</v>
      </c>
      <c r="K220" t="str">
        <f>"20350504"</f>
        <v>20350504</v>
      </c>
      <c r="L220" t="s">
        <v>18</v>
      </c>
      <c r="M220" t="str">
        <f>"20160816"</f>
        <v>20160816</v>
      </c>
    </row>
    <row r="221" spans="1:13" x14ac:dyDescent="0.25">
      <c r="A221" t="str">
        <f>"00218005"</f>
        <v>00218005</v>
      </c>
      <c r="B221" t="s">
        <v>170</v>
      </c>
      <c r="C221" t="s">
        <v>66</v>
      </c>
      <c r="D221" t="s">
        <v>51</v>
      </c>
      <c r="E221" t="s">
        <v>16</v>
      </c>
      <c r="F221" t="s">
        <v>17</v>
      </c>
      <c r="G221" t="str">
        <f>"02"</f>
        <v>02</v>
      </c>
      <c r="H221" t="str">
        <f>"7  "</f>
        <v xml:space="preserve">7  </v>
      </c>
      <c r="I221" t="str">
        <f>"1996/09/23"</f>
        <v>1996/09/23</v>
      </c>
      <c r="J221" t="str">
        <f>"534"</f>
        <v>534</v>
      </c>
      <c r="K221" t="s">
        <v>18</v>
      </c>
      <c r="L221" t="str">
        <f>"20081213"</f>
        <v>20081213</v>
      </c>
      <c r="M221" t="str">
        <f>"19860714"</f>
        <v>19860714</v>
      </c>
    </row>
    <row r="222" spans="1:13" x14ac:dyDescent="0.25">
      <c r="A222" t="str">
        <f>"00140264"</f>
        <v>00140264</v>
      </c>
      <c r="B222" t="s">
        <v>171</v>
      </c>
      <c r="C222" t="s">
        <v>172</v>
      </c>
      <c r="D222" t="s">
        <v>37</v>
      </c>
      <c r="E222" t="s">
        <v>16</v>
      </c>
      <c r="F222" t="s">
        <v>17</v>
      </c>
      <c r="G222" t="str">
        <f>"02"</f>
        <v>02</v>
      </c>
      <c r="H222" t="str">
        <f>"3  "</f>
        <v xml:space="preserve">3  </v>
      </c>
      <c r="I222" t="str">
        <f>"2016/08/25"</f>
        <v>2016/08/25</v>
      </c>
      <c r="J222" t="str">
        <f>"510"</f>
        <v>510</v>
      </c>
      <c r="K222" t="str">
        <f>"20250417"</f>
        <v>20250417</v>
      </c>
      <c r="L222" t="s">
        <v>18</v>
      </c>
      <c r="M222" t="str">
        <f>"20140701"</f>
        <v>20140701</v>
      </c>
    </row>
    <row r="223" spans="1:13" x14ac:dyDescent="0.25">
      <c r="A223" t="str">
        <f>"00734803"</f>
        <v>00734803</v>
      </c>
      <c r="B223" t="s">
        <v>175</v>
      </c>
      <c r="C223" t="s">
        <v>176</v>
      </c>
      <c r="D223" t="s">
        <v>31</v>
      </c>
      <c r="E223" t="s">
        <v>16</v>
      </c>
      <c r="F223" t="s">
        <v>17</v>
      </c>
      <c r="G223" t="str">
        <f>"02"</f>
        <v>02</v>
      </c>
      <c r="H223" t="str">
        <f>"3  "</f>
        <v xml:space="preserve">3  </v>
      </c>
      <c r="I223" t="str">
        <f>"2014/04/02"</f>
        <v>2014/04/02</v>
      </c>
      <c r="J223" t="str">
        <f>"110"</f>
        <v>110</v>
      </c>
      <c r="K223" t="str">
        <f>"20280620"</f>
        <v>20280620</v>
      </c>
      <c r="L223" t="s">
        <v>18</v>
      </c>
      <c r="M223" t="str">
        <f>"20130617"</f>
        <v>20130617</v>
      </c>
    </row>
    <row r="224" spans="1:13" x14ac:dyDescent="0.25">
      <c r="A224" t="str">
        <f>"00820610"</f>
        <v>00820610</v>
      </c>
      <c r="B224" t="s">
        <v>183</v>
      </c>
      <c r="C224" t="s">
        <v>49</v>
      </c>
      <c r="D224" t="s">
        <v>25</v>
      </c>
      <c r="E224" t="s">
        <v>26</v>
      </c>
      <c r="F224" t="s">
        <v>17</v>
      </c>
      <c r="G224" t="str">
        <f>"02"</f>
        <v>02</v>
      </c>
      <c r="H224" t="str">
        <f>"3  "</f>
        <v xml:space="preserve">3  </v>
      </c>
      <c r="I224" t="str">
        <f>"2020/02/07"</f>
        <v>2020/02/07</v>
      </c>
      <c r="J224" t="str">
        <f>"510"</f>
        <v>510</v>
      </c>
      <c r="K224" t="str">
        <f>"20340103"</f>
        <v>20340103</v>
      </c>
      <c r="L224" t="s">
        <v>18</v>
      </c>
      <c r="M224" t="str">
        <f>"20180901"</f>
        <v>20180901</v>
      </c>
    </row>
    <row r="225" spans="1:13" x14ac:dyDescent="0.25">
      <c r="A225" t="str">
        <f>"00545150"</f>
        <v>00545150</v>
      </c>
      <c r="B225" t="s">
        <v>187</v>
      </c>
      <c r="C225" t="s">
        <v>188</v>
      </c>
      <c r="D225" t="s">
        <v>51</v>
      </c>
      <c r="E225" t="s">
        <v>16</v>
      </c>
      <c r="F225" t="s">
        <v>17</v>
      </c>
      <c r="G225" t="str">
        <f>"02"</f>
        <v>02</v>
      </c>
      <c r="H225" t="str">
        <f>"3  "</f>
        <v xml:space="preserve">3  </v>
      </c>
      <c r="I225" t="str">
        <f>"2019/11/22"</f>
        <v>2019/11/22</v>
      </c>
      <c r="J225" t="str">
        <f>"510"</f>
        <v>510</v>
      </c>
      <c r="K225" t="str">
        <f>"20410708"</f>
        <v>20410708</v>
      </c>
      <c r="L225" t="s">
        <v>18</v>
      </c>
      <c r="M225" t="str">
        <f>"20181214"</f>
        <v>20181214</v>
      </c>
    </row>
    <row r="226" spans="1:13" x14ac:dyDescent="0.25">
      <c r="A226" t="str">
        <f>"00328232"</f>
        <v>00328232</v>
      </c>
      <c r="B226" t="s">
        <v>192</v>
      </c>
      <c r="C226" t="s">
        <v>66</v>
      </c>
      <c r="D226" t="s">
        <v>40</v>
      </c>
      <c r="E226" t="s">
        <v>16</v>
      </c>
      <c r="F226" t="s">
        <v>17</v>
      </c>
      <c r="G226" t="str">
        <f>"02"</f>
        <v>02</v>
      </c>
      <c r="H226" t="str">
        <f>"3  "</f>
        <v xml:space="preserve">3  </v>
      </c>
      <c r="I226" t="str">
        <f>"2006/11/22"</f>
        <v>2006/11/22</v>
      </c>
      <c r="J226" t="str">
        <f>"510"</f>
        <v>510</v>
      </c>
      <c r="K226" t="str">
        <f>"20420312"</f>
        <v>20420312</v>
      </c>
      <c r="L226" t="s">
        <v>18</v>
      </c>
      <c r="M226" t="str">
        <f>"20051003"</f>
        <v>20051003</v>
      </c>
    </row>
    <row r="227" spans="1:13" x14ac:dyDescent="0.25">
      <c r="A227" t="str">
        <f>"00220850"</f>
        <v>00220850</v>
      </c>
      <c r="B227" t="s">
        <v>200</v>
      </c>
      <c r="C227" t="s">
        <v>201</v>
      </c>
      <c r="D227" t="s">
        <v>31</v>
      </c>
      <c r="E227" t="s">
        <v>26</v>
      </c>
      <c r="F227" t="s">
        <v>17</v>
      </c>
      <c r="G227" t="str">
        <f>"02"</f>
        <v>02</v>
      </c>
      <c r="H227" t="str">
        <f>"3  "</f>
        <v xml:space="preserve">3  </v>
      </c>
      <c r="I227" t="str">
        <f>"2019/01/29"</f>
        <v>2019/01/29</v>
      </c>
      <c r="J227" t="str">
        <f>"533"</f>
        <v>533</v>
      </c>
      <c r="K227" t="str">
        <f>"20321210"</f>
        <v>20321210</v>
      </c>
      <c r="L227" t="s">
        <v>18</v>
      </c>
      <c r="M227" t="str">
        <f>"19980426"</f>
        <v>19980426</v>
      </c>
    </row>
    <row r="228" spans="1:13" x14ac:dyDescent="0.25">
      <c r="A228" t="str">
        <f>"00201132"</f>
        <v>00201132</v>
      </c>
      <c r="B228" t="s">
        <v>202</v>
      </c>
      <c r="C228" t="s">
        <v>55</v>
      </c>
      <c r="D228" t="s">
        <v>47</v>
      </c>
      <c r="E228" t="s">
        <v>16</v>
      </c>
      <c r="F228" t="s">
        <v>17</v>
      </c>
      <c r="G228" t="str">
        <f>"02"</f>
        <v>02</v>
      </c>
      <c r="H228" t="str">
        <f>"7  "</f>
        <v xml:space="preserve">7  </v>
      </c>
      <c r="I228" t="str">
        <f>"2014/11/06"</f>
        <v>2014/11/06</v>
      </c>
      <c r="J228" t="str">
        <f>"510"</f>
        <v>510</v>
      </c>
      <c r="K228" t="s">
        <v>18</v>
      </c>
      <c r="L228" t="s">
        <v>18</v>
      </c>
      <c r="M228" t="str">
        <f>"20130610"</f>
        <v>20130610</v>
      </c>
    </row>
    <row r="229" spans="1:13" x14ac:dyDescent="0.25">
      <c r="A229" t="str">
        <f>"00482765"</f>
        <v>00482765</v>
      </c>
      <c r="B229" t="s">
        <v>203</v>
      </c>
      <c r="C229" t="s">
        <v>14</v>
      </c>
      <c r="D229" t="s">
        <v>21</v>
      </c>
      <c r="E229" t="s">
        <v>16</v>
      </c>
      <c r="F229" t="s">
        <v>17</v>
      </c>
      <c r="G229" t="str">
        <f>"02"</f>
        <v>02</v>
      </c>
      <c r="H229" t="str">
        <f>"3  "</f>
        <v xml:space="preserve">3  </v>
      </c>
      <c r="I229" t="str">
        <f>"2014/02/12"</f>
        <v>2014/02/12</v>
      </c>
      <c r="J229" t="str">
        <f>"110"</f>
        <v>110</v>
      </c>
      <c r="K229" t="str">
        <f>"20290321"</f>
        <v>20290321</v>
      </c>
      <c r="L229" t="s">
        <v>18</v>
      </c>
      <c r="M229" t="str">
        <f>"20131215"</f>
        <v>20131215</v>
      </c>
    </row>
    <row r="230" spans="1:13" x14ac:dyDescent="0.25">
      <c r="A230" t="str">
        <f>"00714224"</f>
        <v>00714224</v>
      </c>
      <c r="B230" t="s">
        <v>204</v>
      </c>
      <c r="C230" t="s">
        <v>205</v>
      </c>
      <c r="D230" t="s">
        <v>25</v>
      </c>
      <c r="E230" t="s">
        <v>26</v>
      </c>
      <c r="F230" t="s">
        <v>17</v>
      </c>
      <c r="G230" t="str">
        <f>"02"</f>
        <v>02</v>
      </c>
      <c r="H230" t="str">
        <f>"3  "</f>
        <v xml:space="preserve">3  </v>
      </c>
      <c r="I230" t="str">
        <f>"2020/09/16"</f>
        <v>2020/09/16</v>
      </c>
      <c r="J230" t="str">
        <f>"533"</f>
        <v>533</v>
      </c>
      <c r="K230" t="str">
        <f>"20571028"</f>
        <v>20571028</v>
      </c>
      <c r="L230" t="s">
        <v>18</v>
      </c>
      <c r="M230" t="str">
        <f>"20130106"</f>
        <v>20130106</v>
      </c>
    </row>
    <row r="231" spans="1:13" x14ac:dyDescent="0.25">
      <c r="A231" t="str">
        <f>"00230838"</f>
        <v>00230838</v>
      </c>
      <c r="B231" t="s">
        <v>204</v>
      </c>
      <c r="C231" t="s">
        <v>55</v>
      </c>
      <c r="D231" t="s">
        <v>45</v>
      </c>
      <c r="E231" t="s">
        <v>16</v>
      </c>
      <c r="F231" t="s">
        <v>17</v>
      </c>
      <c r="G231" t="str">
        <f>"02"</f>
        <v>02</v>
      </c>
      <c r="H231" t="str">
        <f>"7  "</f>
        <v xml:space="preserve">7  </v>
      </c>
      <c r="I231" t="str">
        <f>"1994/11/30"</f>
        <v>1994/11/30</v>
      </c>
      <c r="J231" t="str">
        <f>"510"</f>
        <v>510</v>
      </c>
      <c r="K231" t="s">
        <v>18</v>
      </c>
      <c r="L231" t="s">
        <v>18</v>
      </c>
      <c r="M231" t="str">
        <f>"19931206"</f>
        <v>19931206</v>
      </c>
    </row>
    <row r="232" spans="1:13" x14ac:dyDescent="0.25">
      <c r="A232" t="str">
        <f>"00679872"</f>
        <v>00679872</v>
      </c>
      <c r="B232" t="s">
        <v>208</v>
      </c>
      <c r="C232" t="s">
        <v>209</v>
      </c>
      <c r="D232" t="s">
        <v>21</v>
      </c>
      <c r="E232" t="s">
        <v>26</v>
      </c>
      <c r="F232" t="s">
        <v>17</v>
      </c>
      <c r="G232" t="str">
        <f>"02"</f>
        <v>02</v>
      </c>
      <c r="H232" t="str">
        <f>"3  "</f>
        <v xml:space="preserve">3  </v>
      </c>
      <c r="I232" t="str">
        <f>"2012/05/25"</f>
        <v>2012/05/25</v>
      </c>
      <c r="J232" t="str">
        <f>"110"</f>
        <v>110</v>
      </c>
      <c r="K232" t="str">
        <f>"20230917"</f>
        <v>20230917</v>
      </c>
      <c r="L232" t="s">
        <v>18</v>
      </c>
      <c r="M232" t="str">
        <f>"20110322"</f>
        <v>20110322</v>
      </c>
    </row>
    <row r="233" spans="1:13" x14ac:dyDescent="0.25">
      <c r="A233" t="str">
        <f>"00248186"</f>
        <v>00248186</v>
      </c>
      <c r="B233" t="s">
        <v>226</v>
      </c>
      <c r="C233" t="s">
        <v>115</v>
      </c>
      <c r="D233" t="s">
        <v>15</v>
      </c>
      <c r="E233" t="s">
        <v>26</v>
      </c>
      <c r="F233" t="s">
        <v>17</v>
      </c>
      <c r="G233" t="str">
        <f>"02"</f>
        <v>02</v>
      </c>
      <c r="H233" t="str">
        <f>"3  "</f>
        <v xml:space="preserve">3  </v>
      </c>
      <c r="I233" t="str">
        <f>"2019/05/10"</f>
        <v>2019/05/10</v>
      </c>
      <c r="J233" t="str">
        <f>"503"</f>
        <v>503</v>
      </c>
      <c r="K233" t="str">
        <f>"20241004"</f>
        <v>20241004</v>
      </c>
      <c r="L233" t="s">
        <v>18</v>
      </c>
      <c r="M233" t="str">
        <f>"20190507"</f>
        <v>20190507</v>
      </c>
    </row>
    <row r="234" spans="1:13" x14ac:dyDescent="0.25">
      <c r="A234" t="str">
        <f>"00569542"</f>
        <v>00569542</v>
      </c>
      <c r="B234" t="s">
        <v>231</v>
      </c>
      <c r="C234" t="s">
        <v>232</v>
      </c>
      <c r="D234" t="s">
        <v>61</v>
      </c>
      <c r="E234" t="s">
        <v>26</v>
      </c>
      <c r="F234" t="s">
        <v>17</v>
      </c>
      <c r="G234" t="str">
        <f>"02"</f>
        <v>02</v>
      </c>
      <c r="H234" t="str">
        <f>"3  "</f>
        <v xml:space="preserve">3  </v>
      </c>
      <c r="I234" t="str">
        <f>"2020/02/21"</f>
        <v>2020/02/21</v>
      </c>
      <c r="J234" t="str">
        <f>"503"</f>
        <v>503</v>
      </c>
      <c r="K234" t="str">
        <f>"20261227"</f>
        <v>20261227</v>
      </c>
      <c r="L234" t="s">
        <v>18</v>
      </c>
      <c r="M234" t="str">
        <f>"20180908"</f>
        <v>20180908</v>
      </c>
    </row>
    <row r="235" spans="1:13" x14ac:dyDescent="0.25">
      <c r="A235" t="str">
        <f>"00339927"</f>
        <v>00339927</v>
      </c>
      <c r="B235" t="s">
        <v>234</v>
      </c>
      <c r="C235" t="s">
        <v>235</v>
      </c>
      <c r="D235" t="s">
        <v>25</v>
      </c>
      <c r="E235" t="s">
        <v>16</v>
      </c>
      <c r="F235" t="s">
        <v>17</v>
      </c>
      <c r="G235" t="str">
        <f>"02"</f>
        <v>02</v>
      </c>
      <c r="H235" t="str">
        <f>"3  "</f>
        <v xml:space="preserve">3  </v>
      </c>
      <c r="I235" t="str">
        <f>"2019/01/25"</f>
        <v>2019/01/25</v>
      </c>
      <c r="J235" t="str">
        <f>"534"</f>
        <v>534</v>
      </c>
      <c r="K235" t="str">
        <f>"20220313"</f>
        <v>20220313</v>
      </c>
      <c r="L235" t="s">
        <v>18</v>
      </c>
      <c r="M235" t="str">
        <f>"20170929"</f>
        <v>20170929</v>
      </c>
    </row>
    <row r="236" spans="1:13" x14ac:dyDescent="0.25">
      <c r="A236" t="str">
        <f>"00221242"</f>
        <v>00221242</v>
      </c>
      <c r="B236" t="s">
        <v>234</v>
      </c>
      <c r="C236" t="s">
        <v>236</v>
      </c>
      <c r="D236" t="s">
        <v>51</v>
      </c>
      <c r="E236" t="s">
        <v>26</v>
      </c>
      <c r="F236" t="s">
        <v>17</v>
      </c>
      <c r="G236" t="str">
        <f>"02"</f>
        <v>02</v>
      </c>
      <c r="H236" t="str">
        <f>"3  "</f>
        <v xml:space="preserve">3  </v>
      </c>
      <c r="I236" t="str">
        <f>"2002/06/03"</f>
        <v>2002/06/03</v>
      </c>
      <c r="J236" t="str">
        <f>"510"</f>
        <v>510</v>
      </c>
      <c r="K236" t="str">
        <f>"20341031"</f>
        <v>20341031</v>
      </c>
      <c r="L236" t="s">
        <v>18</v>
      </c>
      <c r="M236" t="str">
        <f>"20000623"</f>
        <v>20000623</v>
      </c>
    </row>
    <row r="237" spans="1:13" x14ac:dyDescent="0.25">
      <c r="A237" t="str">
        <f>"00692516"</f>
        <v>00692516</v>
      </c>
      <c r="B237" t="s">
        <v>234</v>
      </c>
      <c r="C237" t="s">
        <v>237</v>
      </c>
      <c r="D237" t="s">
        <v>21</v>
      </c>
      <c r="E237" t="s">
        <v>26</v>
      </c>
      <c r="F237" t="s">
        <v>17</v>
      </c>
      <c r="G237" t="str">
        <f>"02"</f>
        <v>02</v>
      </c>
      <c r="H237" t="str">
        <f>"3  "</f>
        <v xml:space="preserve">3  </v>
      </c>
      <c r="I237" t="str">
        <f>"2019/08/30"</f>
        <v>2019/08/30</v>
      </c>
      <c r="J237" t="str">
        <f>"510"</f>
        <v>510</v>
      </c>
      <c r="K237" t="str">
        <f>"20320405"</f>
        <v>20320405</v>
      </c>
      <c r="L237" t="s">
        <v>18</v>
      </c>
      <c r="M237" t="str">
        <f>"20181001"</f>
        <v>20181001</v>
      </c>
    </row>
    <row r="238" spans="1:13" x14ac:dyDescent="0.25">
      <c r="A238" t="str">
        <f>"00114291"</f>
        <v>00114291</v>
      </c>
      <c r="B238" t="s">
        <v>239</v>
      </c>
      <c r="C238" t="s">
        <v>164</v>
      </c>
      <c r="D238" t="s">
        <v>25</v>
      </c>
      <c r="E238" t="s">
        <v>26</v>
      </c>
      <c r="F238" t="s">
        <v>17</v>
      </c>
      <c r="G238" t="str">
        <f>"02"</f>
        <v>02</v>
      </c>
      <c r="H238" t="str">
        <f>"7  "</f>
        <v xml:space="preserve">7  </v>
      </c>
      <c r="I238" t="str">
        <f>"2002/06/03"</f>
        <v>2002/06/03</v>
      </c>
      <c r="J238" t="str">
        <f>"510"</f>
        <v>510</v>
      </c>
      <c r="K238" t="s">
        <v>18</v>
      </c>
      <c r="L238" t="s">
        <v>18</v>
      </c>
      <c r="M238" t="str">
        <f>"19850512"</f>
        <v>19850512</v>
      </c>
    </row>
    <row r="239" spans="1:13" x14ac:dyDescent="0.25">
      <c r="A239" t="str">
        <f>"00717788"</f>
        <v>00717788</v>
      </c>
      <c r="B239" t="s">
        <v>242</v>
      </c>
      <c r="C239" t="s">
        <v>243</v>
      </c>
      <c r="D239" t="s">
        <v>25</v>
      </c>
      <c r="E239" t="s">
        <v>26</v>
      </c>
      <c r="F239" t="s">
        <v>17</v>
      </c>
      <c r="G239" t="str">
        <f>"02"</f>
        <v>02</v>
      </c>
      <c r="H239" t="str">
        <f>"0  "</f>
        <v xml:space="preserve">0  </v>
      </c>
      <c r="I239" t="str">
        <f>"2018/05/30"</f>
        <v>2018/05/30</v>
      </c>
      <c r="J239" t="str">
        <f>"420"</f>
        <v>420</v>
      </c>
      <c r="K239" t="s">
        <v>18</v>
      </c>
      <c r="L239" t="s">
        <v>18</v>
      </c>
      <c r="M239" t="s">
        <v>18</v>
      </c>
    </row>
    <row r="240" spans="1:13" x14ac:dyDescent="0.25">
      <c r="A240" t="str">
        <f>"00168046"</f>
        <v>00168046</v>
      </c>
      <c r="B240" t="s">
        <v>242</v>
      </c>
      <c r="C240" t="s">
        <v>244</v>
      </c>
      <c r="D240" t="s">
        <v>113</v>
      </c>
      <c r="E240" t="s">
        <v>26</v>
      </c>
      <c r="F240" t="s">
        <v>17</v>
      </c>
      <c r="G240" t="str">
        <f>"02"</f>
        <v>02</v>
      </c>
      <c r="H240" t="str">
        <f>"3  "</f>
        <v xml:space="preserve">3  </v>
      </c>
      <c r="I240" t="str">
        <f>"2014/04/17"</f>
        <v>2014/04/17</v>
      </c>
      <c r="J240" t="str">
        <f>"110"</f>
        <v>110</v>
      </c>
      <c r="K240" t="str">
        <f>"20211021"</f>
        <v>20211021</v>
      </c>
      <c r="L240" t="s">
        <v>18</v>
      </c>
      <c r="M240" t="str">
        <f>"20130717"</f>
        <v>20130717</v>
      </c>
    </row>
    <row r="241" spans="1:13" x14ac:dyDescent="0.25">
      <c r="A241" t="str">
        <f>"00693032"</f>
        <v>00693032</v>
      </c>
      <c r="B241" t="s">
        <v>242</v>
      </c>
      <c r="C241" t="s">
        <v>248</v>
      </c>
      <c r="D241" t="s">
        <v>21</v>
      </c>
      <c r="E241" t="s">
        <v>26</v>
      </c>
      <c r="F241" t="s">
        <v>17</v>
      </c>
      <c r="G241" t="str">
        <f>"02"</f>
        <v>02</v>
      </c>
      <c r="H241" t="str">
        <f>"3  "</f>
        <v xml:space="preserve">3  </v>
      </c>
      <c r="I241" t="str">
        <f>"2020/09/02"</f>
        <v>2020/09/02</v>
      </c>
      <c r="J241" t="str">
        <f>"533"</f>
        <v>533</v>
      </c>
      <c r="K241" t="str">
        <f>"20240920"</f>
        <v>20240920</v>
      </c>
      <c r="L241" t="s">
        <v>18</v>
      </c>
      <c r="M241" t="str">
        <f>"20130514"</f>
        <v>20130514</v>
      </c>
    </row>
    <row r="242" spans="1:13" x14ac:dyDescent="0.25">
      <c r="A242" t="str">
        <f>"00483224"</f>
        <v>00483224</v>
      </c>
      <c r="B242" t="s">
        <v>242</v>
      </c>
      <c r="C242" t="s">
        <v>252</v>
      </c>
      <c r="D242" t="s">
        <v>25</v>
      </c>
      <c r="E242" t="s">
        <v>26</v>
      </c>
      <c r="F242" t="s">
        <v>17</v>
      </c>
      <c r="G242" t="str">
        <f>"02"</f>
        <v>02</v>
      </c>
      <c r="H242" t="str">
        <f>"3  "</f>
        <v xml:space="preserve">3  </v>
      </c>
      <c r="I242" t="str">
        <f>"2019/08/09"</f>
        <v>2019/08/09</v>
      </c>
      <c r="J242" t="str">
        <f>"510"</f>
        <v>510</v>
      </c>
      <c r="K242" t="str">
        <f>"20260822"</f>
        <v>20260822</v>
      </c>
      <c r="L242" t="s">
        <v>18</v>
      </c>
      <c r="M242" t="str">
        <f>"20180703"</f>
        <v>20180703</v>
      </c>
    </row>
    <row r="243" spans="1:13" x14ac:dyDescent="0.25">
      <c r="A243" t="str">
        <f>"00450212"</f>
        <v>00450212</v>
      </c>
      <c r="B243" t="s">
        <v>255</v>
      </c>
      <c r="C243" t="s">
        <v>256</v>
      </c>
      <c r="D243" t="s">
        <v>21</v>
      </c>
      <c r="E243" t="s">
        <v>26</v>
      </c>
      <c r="F243" t="s">
        <v>17</v>
      </c>
      <c r="G243" t="str">
        <f>"02"</f>
        <v>02</v>
      </c>
      <c r="H243" t="str">
        <f>"3  "</f>
        <v xml:space="preserve">3  </v>
      </c>
      <c r="I243" t="str">
        <f>"2006/12/08"</f>
        <v>2006/12/08</v>
      </c>
      <c r="J243" t="str">
        <f>"110"</f>
        <v>110</v>
      </c>
      <c r="K243" t="str">
        <f>"20880212"</f>
        <v>20880212</v>
      </c>
      <c r="L243" t="s">
        <v>18</v>
      </c>
      <c r="M243" t="str">
        <f>"20061025"</f>
        <v>20061025</v>
      </c>
    </row>
    <row r="244" spans="1:13" x14ac:dyDescent="0.25">
      <c r="A244" t="str">
        <f>"00751497"</f>
        <v>00751497</v>
      </c>
      <c r="B244" t="s">
        <v>260</v>
      </c>
      <c r="C244" t="s">
        <v>261</v>
      </c>
      <c r="D244" t="s">
        <v>40</v>
      </c>
      <c r="E244" t="s">
        <v>26</v>
      </c>
      <c r="F244" t="s">
        <v>17</v>
      </c>
      <c r="G244" t="str">
        <f>"02"</f>
        <v>02</v>
      </c>
      <c r="H244" t="str">
        <f>"3  "</f>
        <v xml:space="preserve">3  </v>
      </c>
      <c r="I244" t="str">
        <f>"2019/10/25"</f>
        <v>2019/10/25</v>
      </c>
      <c r="J244" t="str">
        <f>"510"</f>
        <v>510</v>
      </c>
      <c r="K244" t="str">
        <f>"20350621"</f>
        <v>20350621</v>
      </c>
      <c r="L244" t="s">
        <v>18</v>
      </c>
      <c r="M244" t="str">
        <f>"20170531"</f>
        <v>20170531</v>
      </c>
    </row>
    <row r="245" spans="1:13" x14ac:dyDescent="0.25">
      <c r="A245" t="str">
        <f>"00191158"</f>
        <v>00191158</v>
      </c>
      <c r="B245" t="s">
        <v>262</v>
      </c>
      <c r="C245" t="s">
        <v>265</v>
      </c>
      <c r="D245" t="s">
        <v>40</v>
      </c>
      <c r="E245" t="s">
        <v>26</v>
      </c>
      <c r="F245" t="s">
        <v>17</v>
      </c>
      <c r="G245" t="str">
        <f>"02"</f>
        <v>02</v>
      </c>
      <c r="H245" t="str">
        <f>"7  "</f>
        <v xml:space="preserve">7  </v>
      </c>
      <c r="I245" t="str">
        <f>"2000/05/02"</f>
        <v>2000/05/02</v>
      </c>
      <c r="J245" t="str">
        <f>"533"</f>
        <v>533</v>
      </c>
      <c r="K245" t="s">
        <v>18</v>
      </c>
      <c r="L245" t="str">
        <f>"20060806"</f>
        <v>20060806</v>
      </c>
      <c r="M245" t="str">
        <f>"19901215"</f>
        <v>19901215</v>
      </c>
    </row>
    <row r="246" spans="1:13" x14ac:dyDescent="0.25">
      <c r="A246" t="str">
        <f>"00585578"</f>
        <v>00585578</v>
      </c>
      <c r="B246" t="s">
        <v>273</v>
      </c>
      <c r="C246" t="s">
        <v>74</v>
      </c>
      <c r="D246" t="s">
        <v>15</v>
      </c>
      <c r="E246" t="s">
        <v>16</v>
      </c>
      <c r="F246" t="s">
        <v>17</v>
      </c>
      <c r="G246" t="str">
        <f>"02"</f>
        <v>02</v>
      </c>
      <c r="H246" t="str">
        <f>"3  "</f>
        <v xml:space="preserve">3  </v>
      </c>
      <c r="I246" t="str">
        <f>"2019/11/20"</f>
        <v>2019/11/20</v>
      </c>
      <c r="J246" t="str">
        <f>"503"</f>
        <v>503</v>
      </c>
      <c r="K246" t="str">
        <f>"20230111"</f>
        <v>20230111</v>
      </c>
      <c r="L246" t="s">
        <v>18</v>
      </c>
      <c r="M246" t="str">
        <f>"20160324"</f>
        <v>20160324</v>
      </c>
    </row>
    <row r="247" spans="1:13" x14ac:dyDescent="0.25">
      <c r="A247" t="str">
        <f>"00899638"</f>
        <v>00899638</v>
      </c>
      <c r="B247" t="s">
        <v>276</v>
      </c>
      <c r="C247" t="s">
        <v>278</v>
      </c>
      <c r="D247" t="s">
        <v>15</v>
      </c>
      <c r="E247" t="s">
        <v>26</v>
      </c>
      <c r="F247" t="s">
        <v>17</v>
      </c>
      <c r="G247" t="str">
        <f>"02"</f>
        <v>02</v>
      </c>
      <c r="H247" t="str">
        <f>"3  "</f>
        <v xml:space="preserve">3  </v>
      </c>
      <c r="I247" t="str">
        <f>"2020/04/22"</f>
        <v>2020/04/22</v>
      </c>
      <c r="J247" t="str">
        <f>"534"</f>
        <v>534</v>
      </c>
      <c r="K247" t="str">
        <f>"20240625"</f>
        <v>20240625</v>
      </c>
      <c r="L247" t="s">
        <v>18</v>
      </c>
      <c r="M247" t="str">
        <f>"20190116"</f>
        <v>20190116</v>
      </c>
    </row>
    <row r="248" spans="1:13" x14ac:dyDescent="0.25">
      <c r="A248" t="str">
        <f>"00235967"</f>
        <v>00235967</v>
      </c>
      <c r="B248" t="s">
        <v>276</v>
      </c>
      <c r="C248" t="s">
        <v>280</v>
      </c>
      <c r="D248" t="s">
        <v>53</v>
      </c>
      <c r="E248" t="s">
        <v>26</v>
      </c>
      <c r="F248" t="s">
        <v>17</v>
      </c>
      <c r="G248" t="str">
        <f>"02"</f>
        <v>02</v>
      </c>
      <c r="H248" t="str">
        <f>"3  "</f>
        <v xml:space="preserve">3  </v>
      </c>
      <c r="I248" t="str">
        <f>"2019/12/20"</f>
        <v>2019/12/20</v>
      </c>
      <c r="J248" t="str">
        <f>"510"</f>
        <v>510</v>
      </c>
      <c r="K248" t="str">
        <f>"20270131"</f>
        <v>20270131</v>
      </c>
      <c r="L248" t="s">
        <v>18</v>
      </c>
      <c r="M248" t="str">
        <f>"20191122"</f>
        <v>20191122</v>
      </c>
    </row>
    <row r="249" spans="1:13" x14ac:dyDescent="0.25">
      <c r="A249" t="str">
        <f>"00163685"</f>
        <v>00163685</v>
      </c>
      <c r="B249" t="s">
        <v>276</v>
      </c>
      <c r="C249" t="s">
        <v>281</v>
      </c>
      <c r="D249" t="s">
        <v>40</v>
      </c>
      <c r="E249" t="s">
        <v>26</v>
      </c>
      <c r="F249" t="s">
        <v>17</v>
      </c>
      <c r="G249" t="str">
        <f>"02"</f>
        <v>02</v>
      </c>
      <c r="H249" t="str">
        <f>"3  "</f>
        <v xml:space="preserve">3  </v>
      </c>
      <c r="I249" t="str">
        <f>"2013/09/06"</f>
        <v>2013/09/06</v>
      </c>
      <c r="J249" t="str">
        <f>"510"</f>
        <v>510</v>
      </c>
      <c r="K249" t="str">
        <f>"20210703"</f>
        <v>20210703</v>
      </c>
      <c r="L249" t="s">
        <v>18</v>
      </c>
      <c r="M249" t="str">
        <f>"20110705"</f>
        <v>20110705</v>
      </c>
    </row>
    <row r="250" spans="1:13" x14ac:dyDescent="0.25">
      <c r="A250" t="str">
        <f>"00287127"</f>
        <v>00287127</v>
      </c>
      <c r="B250" t="s">
        <v>287</v>
      </c>
      <c r="C250" t="s">
        <v>288</v>
      </c>
      <c r="D250" t="s">
        <v>80</v>
      </c>
      <c r="E250" t="s">
        <v>16</v>
      </c>
      <c r="F250" t="s">
        <v>17</v>
      </c>
      <c r="G250" t="str">
        <f>"02"</f>
        <v>02</v>
      </c>
      <c r="H250" t="str">
        <f>"7  "</f>
        <v xml:space="preserve">7  </v>
      </c>
      <c r="I250" t="str">
        <f>"2008/02/19"</f>
        <v>2008/02/19</v>
      </c>
      <c r="J250" t="str">
        <f>"110"</f>
        <v>110</v>
      </c>
      <c r="K250" t="s">
        <v>18</v>
      </c>
      <c r="L250" t="s">
        <v>18</v>
      </c>
      <c r="M250" t="str">
        <f>"19970630"</f>
        <v>19970630</v>
      </c>
    </row>
    <row r="251" spans="1:13" x14ac:dyDescent="0.25">
      <c r="A251" t="str">
        <f>"00497756"</f>
        <v>00497756</v>
      </c>
      <c r="B251" t="s">
        <v>291</v>
      </c>
      <c r="C251" t="s">
        <v>292</v>
      </c>
      <c r="D251" t="s">
        <v>26</v>
      </c>
      <c r="E251" t="s">
        <v>26</v>
      </c>
      <c r="F251" t="s">
        <v>17</v>
      </c>
      <c r="G251" t="str">
        <f>"02"</f>
        <v>02</v>
      </c>
      <c r="H251" t="str">
        <f>"1  "</f>
        <v xml:space="preserve">1  </v>
      </c>
      <c r="I251" t="str">
        <f>"2020/09/21"</f>
        <v>2020/09/21</v>
      </c>
      <c r="J251" t="str">
        <f>"504"</f>
        <v>504</v>
      </c>
      <c r="K251" t="str">
        <f>"20210110"</f>
        <v>20210110</v>
      </c>
      <c r="L251" t="s">
        <v>18</v>
      </c>
      <c r="M251" t="str">
        <f>"20200806"</f>
        <v>20200806</v>
      </c>
    </row>
    <row r="252" spans="1:13" x14ac:dyDescent="0.25">
      <c r="A252" t="str">
        <f>"00487643"</f>
        <v>00487643</v>
      </c>
      <c r="B252" t="s">
        <v>305</v>
      </c>
      <c r="C252" t="s">
        <v>96</v>
      </c>
      <c r="D252" t="s">
        <v>25</v>
      </c>
      <c r="E252" t="s">
        <v>26</v>
      </c>
      <c r="F252" t="s">
        <v>17</v>
      </c>
      <c r="G252" t="str">
        <f>"02"</f>
        <v>02</v>
      </c>
      <c r="H252" t="str">
        <f>"3  "</f>
        <v xml:space="preserve">3  </v>
      </c>
      <c r="I252" t="str">
        <f>"2006/11/09"</f>
        <v>2006/11/09</v>
      </c>
      <c r="J252" t="str">
        <f>"110"</f>
        <v>110</v>
      </c>
      <c r="K252" t="str">
        <f>"20390620"</f>
        <v>20390620</v>
      </c>
      <c r="L252" t="s">
        <v>18</v>
      </c>
      <c r="M252" t="str">
        <f>"20031202"</f>
        <v>20031202</v>
      </c>
    </row>
    <row r="253" spans="1:13" x14ac:dyDescent="0.25">
      <c r="A253" t="str">
        <f>"00330792"</f>
        <v>00330792</v>
      </c>
      <c r="B253" t="s">
        <v>305</v>
      </c>
      <c r="C253" t="s">
        <v>99</v>
      </c>
      <c r="D253" t="s">
        <v>25</v>
      </c>
      <c r="E253" t="s">
        <v>26</v>
      </c>
      <c r="F253" t="s">
        <v>17</v>
      </c>
      <c r="G253" t="str">
        <f>"02"</f>
        <v>02</v>
      </c>
      <c r="H253" t="str">
        <f>"7  "</f>
        <v xml:space="preserve">7  </v>
      </c>
      <c r="I253" t="str">
        <f>"1998/02/03"</f>
        <v>1998/02/03</v>
      </c>
      <c r="J253" t="str">
        <f>"114"</f>
        <v>114</v>
      </c>
      <c r="K253" t="s">
        <v>18</v>
      </c>
      <c r="L253" t="s">
        <v>18</v>
      </c>
      <c r="M253" t="str">
        <f>"19950625"</f>
        <v>19950625</v>
      </c>
    </row>
    <row r="254" spans="1:13" x14ac:dyDescent="0.25">
      <c r="A254" t="str">
        <f>"00426004"</f>
        <v>00426004</v>
      </c>
      <c r="B254" t="s">
        <v>310</v>
      </c>
      <c r="C254" t="s">
        <v>96</v>
      </c>
      <c r="D254" t="s">
        <v>15</v>
      </c>
      <c r="E254" t="s">
        <v>26</v>
      </c>
      <c r="F254" t="s">
        <v>17</v>
      </c>
      <c r="G254" t="str">
        <f>"02"</f>
        <v>02</v>
      </c>
      <c r="H254" t="str">
        <f>"3  "</f>
        <v xml:space="preserve">3  </v>
      </c>
      <c r="I254" t="str">
        <f>"2013/09/11"</f>
        <v>2013/09/11</v>
      </c>
      <c r="J254" t="str">
        <f>"510"</f>
        <v>510</v>
      </c>
      <c r="K254" t="str">
        <f>"20220222"</f>
        <v>20220222</v>
      </c>
      <c r="L254" t="s">
        <v>18</v>
      </c>
      <c r="M254" t="str">
        <f>"20111029"</f>
        <v>20111029</v>
      </c>
    </row>
    <row r="255" spans="1:13" x14ac:dyDescent="0.25">
      <c r="A255" t="str">
        <f>"00330791"</f>
        <v>00330791</v>
      </c>
      <c r="B255" t="s">
        <v>315</v>
      </c>
      <c r="C255" t="s">
        <v>316</v>
      </c>
      <c r="D255" t="s">
        <v>31</v>
      </c>
      <c r="E255" t="s">
        <v>26</v>
      </c>
      <c r="F255" t="s">
        <v>17</v>
      </c>
      <c r="G255" t="str">
        <f>"02"</f>
        <v>02</v>
      </c>
      <c r="H255" t="str">
        <f>"7  "</f>
        <v xml:space="preserve">7  </v>
      </c>
      <c r="I255" t="str">
        <f>"1999/06/18"</f>
        <v>1999/06/18</v>
      </c>
      <c r="J255" t="str">
        <f>"503"</f>
        <v>503</v>
      </c>
      <c r="K255" t="s">
        <v>18</v>
      </c>
      <c r="L255" t="s">
        <v>18</v>
      </c>
      <c r="M255" t="str">
        <f>"19950626"</f>
        <v>19950626</v>
      </c>
    </row>
    <row r="256" spans="1:13" x14ac:dyDescent="0.25">
      <c r="A256" t="str">
        <f>"00201292"</f>
        <v>00201292</v>
      </c>
      <c r="B256" t="s">
        <v>319</v>
      </c>
      <c r="C256" t="s">
        <v>320</v>
      </c>
      <c r="D256" t="s">
        <v>15</v>
      </c>
      <c r="E256" t="s">
        <v>16</v>
      </c>
      <c r="F256" t="s">
        <v>17</v>
      </c>
      <c r="G256" t="str">
        <f>"02"</f>
        <v>02</v>
      </c>
      <c r="H256" t="str">
        <f>"3  "</f>
        <v xml:space="preserve">3  </v>
      </c>
      <c r="I256" t="str">
        <f>"2017/08/28"</f>
        <v>2017/08/28</v>
      </c>
      <c r="J256" t="str">
        <f>"510"</f>
        <v>510</v>
      </c>
      <c r="K256" t="str">
        <f>"20370701"</f>
        <v>20370701</v>
      </c>
      <c r="L256" t="s">
        <v>18</v>
      </c>
      <c r="M256" t="str">
        <f>"20151104"</f>
        <v>20151104</v>
      </c>
    </row>
    <row r="257" spans="1:13" x14ac:dyDescent="0.25">
      <c r="A257" t="str">
        <f>"00276664"</f>
        <v>00276664</v>
      </c>
      <c r="B257" t="s">
        <v>321</v>
      </c>
      <c r="C257" t="s">
        <v>322</v>
      </c>
      <c r="D257" t="s">
        <v>45</v>
      </c>
      <c r="E257" t="s">
        <v>16</v>
      </c>
      <c r="F257" t="s">
        <v>17</v>
      </c>
      <c r="G257" t="str">
        <f>"02"</f>
        <v>02</v>
      </c>
      <c r="H257" t="str">
        <f>"3  "</f>
        <v xml:space="preserve">3  </v>
      </c>
      <c r="I257" t="str">
        <f>"2006/11/14"</f>
        <v>2006/11/14</v>
      </c>
      <c r="J257" t="str">
        <f>"503"</f>
        <v>503</v>
      </c>
      <c r="K257" t="str">
        <f>"23610113"</f>
        <v>23610113</v>
      </c>
      <c r="L257" t="s">
        <v>18</v>
      </c>
      <c r="M257" t="str">
        <f>"20051025"</f>
        <v>20051025</v>
      </c>
    </row>
    <row r="258" spans="1:13" x14ac:dyDescent="0.25">
      <c r="A258" t="str">
        <f>"00514193"</f>
        <v>00514193</v>
      </c>
      <c r="B258" t="s">
        <v>326</v>
      </c>
      <c r="C258" t="s">
        <v>327</v>
      </c>
      <c r="D258" t="s">
        <v>15</v>
      </c>
      <c r="E258" t="s">
        <v>16</v>
      </c>
      <c r="F258" t="s">
        <v>17</v>
      </c>
      <c r="G258" t="str">
        <f>"02"</f>
        <v>02</v>
      </c>
      <c r="H258" t="str">
        <f>"3  "</f>
        <v xml:space="preserve">3  </v>
      </c>
      <c r="I258" t="str">
        <f>"2019/08/09"</f>
        <v>2019/08/09</v>
      </c>
      <c r="J258" t="str">
        <f>"510"</f>
        <v>510</v>
      </c>
      <c r="K258" t="str">
        <f>"20250504"</f>
        <v>20250504</v>
      </c>
      <c r="L258" t="s">
        <v>18</v>
      </c>
      <c r="M258" t="str">
        <f>"20170612"</f>
        <v>20170612</v>
      </c>
    </row>
    <row r="259" spans="1:13" x14ac:dyDescent="0.25">
      <c r="A259" t="str">
        <f>"00383156"</f>
        <v>00383156</v>
      </c>
      <c r="B259" t="s">
        <v>328</v>
      </c>
      <c r="C259" t="s">
        <v>329</v>
      </c>
      <c r="D259" t="s">
        <v>21</v>
      </c>
      <c r="E259" t="s">
        <v>26</v>
      </c>
      <c r="F259" t="s">
        <v>17</v>
      </c>
      <c r="G259" t="str">
        <f>"02"</f>
        <v>02</v>
      </c>
      <c r="H259" t="str">
        <f>"3  "</f>
        <v xml:space="preserve">3  </v>
      </c>
      <c r="I259" t="str">
        <f>"2016/06/17"</f>
        <v>2016/06/17</v>
      </c>
      <c r="J259" t="str">
        <f>"110"</f>
        <v>110</v>
      </c>
      <c r="K259" t="str">
        <f>"20330429"</f>
        <v>20330429</v>
      </c>
      <c r="L259" t="s">
        <v>18</v>
      </c>
      <c r="M259" t="str">
        <f>"20151113"</f>
        <v>20151113</v>
      </c>
    </row>
    <row r="260" spans="1:13" x14ac:dyDescent="0.25">
      <c r="A260" t="str">
        <f>"00089625"</f>
        <v>00089625</v>
      </c>
      <c r="B260" t="s">
        <v>330</v>
      </c>
      <c r="C260" t="s">
        <v>331</v>
      </c>
      <c r="D260" t="s">
        <v>31</v>
      </c>
      <c r="E260" t="s">
        <v>26</v>
      </c>
      <c r="F260" t="s">
        <v>17</v>
      </c>
      <c r="G260" t="str">
        <f>"02"</f>
        <v>02</v>
      </c>
      <c r="H260" t="str">
        <f>"7  "</f>
        <v xml:space="preserve">7  </v>
      </c>
      <c r="I260" t="str">
        <f>"2001/01/03"</f>
        <v>2001/01/03</v>
      </c>
      <c r="J260" t="str">
        <f>"533"</f>
        <v>533</v>
      </c>
      <c r="K260" t="s">
        <v>18</v>
      </c>
      <c r="L260" t="str">
        <f>"20550807"</f>
        <v>20550807</v>
      </c>
      <c r="M260" t="str">
        <f>"19830909"</f>
        <v>19830909</v>
      </c>
    </row>
    <row r="261" spans="1:13" x14ac:dyDescent="0.25">
      <c r="A261" t="str">
        <f>"00187042"</f>
        <v>00187042</v>
      </c>
      <c r="B261" t="s">
        <v>330</v>
      </c>
      <c r="C261" t="s">
        <v>48</v>
      </c>
      <c r="D261" t="s">
        <v>91</v>
      </c>
      <c r="E261" t="s">
        <v>26</v>
      </c>
      <c r="F261" t="s">
        <v>17</v>
      </c>
      <c r="G261" t="str">
        <f>"02"</f>
        <v>02</v>
      </c>
      <c r="H261" t="str">
        <f>"7  "</f>
        <v xml:space="preserve">7  </v>
      </c>
      <c r="I261" t="str">
        <f>"1999/01/14"</f>
        <v>1999/01/14</v>
      </c>
      <c r="J261" t="str">
        <f>"510"</f>
        <v>510</v>
      </c>
      <c r="K261" t="s">
        <v>18</v>
      </c>
      <c r="L261" t="s">
        <v>18</v>
      </c>
      <c r="M261" t="str">
        <f>"19960717"</f>
        <v>19960717</v>
      </c>
    </row>
    <row r="262" spans="1:13" x14ac:dyDescent="0.25">
      <c r="A262" t="str">
        <f>"00379269"</f>
        <v>00379269</v>
      </c>
      <c r="B262" t="s">
        <v>332</v>
      </c>
      <c r="C262" t="s">
        <v>333</v>
      </c>
      <c r="D262" t="s">
        <v>51</v>
      </c>
      <c r="E262" t="s">
        <v>16</v>
      </c>
      <c r="F262" t="s">
        <v>17</v>
      </c>
      <c r="G262" t="str">
        <f>"02"</f>
        <v>02</v>
      </c>
      <c r="H262" t="str">
        <f>"3  "</f>
        <v xml:space="preserve">3  </v>
      </c>
      <c r="I262" t="str">
        <f>"2014/02/25"</f>
        <v>2014/02/25</v>
      </c>
      <c r="J262" t="str">
        <f>"110"</f>
        <v>110</v>
      </c>
      <c r="K262" t="str">
        <f>"20220313"</f>
        <v>20220313</v>
      </c>
      <c r="L262" t="s">
        <v>18</v>
      </c>
      <c r="M262" t="str">
        <f>"20131122"</f>
        <v>20131122</v>
      </c>
    </row>
    <row r="263" spans="1:13" x14ac:dyDescent="0.25">
      <c r="A263" t="str">
        <f>"00136264"</f>
        <v>00136264</v>
      </c>
      <c r="B263" t="s">
        <v>337</v>
      </c>
      <c r="C263" t="s">
        <v>48</v>
      </c>
      <c r="D263" t="s">
        <v>16</v>
      </c>
      <c r="E263" t="s">
        <v>16</v>
      </c>
      <c r="F263" t="s">
        <v>17</v>
      </c>
      <c r="G263" t="str">
        <f>"02"</f>
        <v>02</v>
      </c>
      <c r="H263" t="str">
        <f>"7  "</f>
        <v xml:space="preserve">7  </v>
      </c>
      <c r="I263" t="str">
        <f>"2019/08/30"</f>
        <v>2019/08/30</v>
      </c>
      <c r="J263" t="str">
        <f>"533"</f>
        <v>533</v>
      </c>
      <c r="K263" t="s">
        <v>18</v>
      </c>
      <c r="L263" t="s">
        <v>18</v>
      </c>
      <c r="M263" t="str">
        <f>"19760108"</f>
        <v>19760108</v>
      </c>
    </row>
    <row r="264" spans="1:13" x14ac:dyDescent="0.25">
      <c r="A264" t="str">
        <f>"00503724"</f>
        <v>00503724</v>
      </c>
      <c r="B264" t="s">
        <v>341</v>
      </c>
      <c r="C264" t="s">
        <v>342</v>
      </c>
      <c r="D264" t="s">
        <v>25</v>
      </c>
      <c r="E264" t="s">
        <v>26</v>
      </c>
      <c r="F264" t="s">
        <v>17</v>
      </c>
      <c r="G264" t="str">
        <f>"02"</f>
        <v>02</v>
      </c>
      <c r="H264" t="str">
        <f>"3  "</f>
        <v xml:space="preserve">3  </v>
      </c>
      <c r="I264" t="str">
        <f>"2019/11/08"</f>
        <v>2019/11/08</v>
      </c>
      <c r="J264" t="str">
        <f>"510"</f>
        <v>510</v>
      </c>
      <c r="K264" t="str">
        <f>"20291217"</f>
        <v>20291217</v>
      </c>
      <c r="L264" t="s">
        <v>18</v>
      </c>
      <c r="M264" t="str">
        <f>"20180901"</f>
        <v>20180901</v>
      </c>
    </row>
    <row r="265" spans="1:13" x14ac:dyDescent="0.25">
      <c r="A265" t="str">
        <f>"00506611"</f>
        <v>00506611</v>
      </c>
      <c r="B265" t="s">
        <v>349</v>
      </c>
      <c r="C265" t="s">
        <v>72</v>
      </c>
      <c r="D265" t="s">
        <v>25</v>
      </c>
      <c r="E265" t="s">
        <v>26</v>
      </c>
      <c r="F265" t="s">
        <v>17</v>
      </c>
      <c r="G265" t="str">
        <f>"02"</f>
        <v>02</v>
      </c>
      <c r="H265" t="str">
        <f>"3  "</f>
        <v xml:space="preserve">3  </v>
      </c>
      <c r="I265" t="str">
        <f>"2018/12/18"</f>
        <v>2018/12/18</v>
      </c>
      <c r="J265" t="str">
        <f>"510"</f>
        <v>510</v>
      </c>
      <c r="K265" t="str">
        <f>"20250517"</f>
        <v>20250517</v>
      </c>
      <c r="L265" t="s">
        <v>18</v>
      </c>
      <c r="M265" t="str">
        <f>"20150109"</f>
        <v>20150109</v>
      </c>
    </row>
    <row r="266" spans="1:13" x14ac:dyDescent="0.25">
      <c r="A266" t="str">
        <f>"00562275"</f>
        <v>00562275</v>
      </c>
      <c r="B266" t="s">
        <v>350</v>
      </c>
      <c r="C266" t="s">
        <v>351</v>
      </c>
      <c r="D266" t="s">
        <v>25</v>
      </c>
      <c r="E266" t="s">
        <v>26</v>
      </c>
      <c r="F266" t="s">
        <v>17</v>
      </c>
      <c r="G266" t="str">
        <f>"02"</f>
        <v>02</v>
      </c>
      <c r="H266" t="str">
        <f>"3  "</f>
        <v xml:space="preserve">3  </v>
      </c>
      <c r="I266" t="str">
        <f>"2019/01/28"</f>
        <v>2019/01/28</v>
      </c>
      <c r="J266" t="str">
        <f>"510"</f>
        <v>510</v>
      </c>
      <c r="K266" t="str">
        <f>"20311005"</f>
        <v>20311005</v>
      </c>
      <c r="L266" t="s">
        <v>18</v>
      </c>
      <c r="M266" t="str">
        <f>"20171008"</f>
        <v>20171008</v>
      </c>
    </row>
    <row r="267" spans="1:13" x14ac:dyDescent="0.25">
      <c r="A267" t="str">
        <f>"00103992"</f>
        <v>00103992</v>
      </c>
      <c r="B267" t="s">
        <v>350</v>
      </c>
      <c r="C267" t="s">
        <v>169</v>
      </c>
      <c r="D267" t="s">
        <v>73</v>
      </c>
      <c r="E267" t="s">
        <v>26</v>
      </c>
      <c r="F267" t="s">
        <v>17</v>
      </c>
      <c r="G267" t="str">
        <f>"02"</f>
        <v>02</v>
      </c>
      <c r="H267" t="str">
        <f>"7  "</f>
        <v xml:space="preserve">7  </v>
      </c>
      <c r="I267" t="str">
        <f>"2001/01/17"</f>
        <v>2001/01/17</v>
      </c>
      <c r="J267" t="str">
        <f>"533"</f>
        <v>533</v>
      </c>
      <c r="K267" t="s">
        <v>18</v>
      </c>
      <c r="L267" t="s">
        <v>18</v>
      </c>
      <c r="M267" t="str">
        <f>"19840514"</f>
        <v>19840514</v>
      </c>
    </row>
    <row r="268" spans="1:13" x14ac:dyDescent="0.25">
      <c r="A268" t="str">
        <f>"00652724"</f>
        <v>00652724</v>
      </c>
      <c r="B268" t="s">
        <v>357</v>
      </c>
      <c r="C268" t="s">
        <v>358</v>
      </c>
      <c r="D268" t="s">
        <v>25</v>
      </c>
      <c r="E268" t="s">
        <v>26</v>
      </c>
      <c r="F268" t="s">
        <v>17</v>
      </c>
      <c r="G268" t="str">
        <f>"02"</f>
        <v>02</v>
      </c>
      <c r="H268" t="str">
        <f>"3  "</f>
        <v xml:space="preserve">3  </v>
      </c>
      <c r="I268" t="str">
        <f>"2014/09/27"</f>
        <v>2014/09/27</v>
      </c>
      <c r="J268" t="str">
        <f>"110"</f>
        <v>110</v>
      </c>
      <c r="K268" t="str">
        <f>"20240312"</f>
        <v>20240312</v>
      </c>
      <c r="L268" t="s">
        <v>18</v>
      </c>
      <c r="M268" t="str">
        <f>"20130829"</f>
        <v>20130829</v>
      </c>
    </row>
    <row r="269" spans="1:13" x14ac:dyDescent="0.25">
      <c r="A269" t="str">
        <f>"00673635"</f>
        <v>00673635</v>
      </c>
      <c r="B269" t="s">
        <v>361</v>
      </c>
      <c r="C269" t="s">
        <v>362</v>
      </c>
      <c r="D269" t="s">
        <v>31</v>
      </c>
      <c r="E269" t="s">
        <v>26</v>
      </c>
      <c r="F269" t="s">
        <v>17</v>
      </c>
      <c r="G269" t="str">
        <f>"02"</f>
        <v>02</v>
      </c>
      <c r="H269" t="str">
        <f>"3  "</f>
        <v xml:space="preserve">3  </v>
      </c>
      <c r="I269" t="str">
        <f>"2015/12/01"</f>
        <v>2015/12/01</v>
      </c>
      <c r="J269" t="str">
        <f>"510"</f>
        <v>510</v>
      </c>
      <c r="K269" t="str">
        <f>"20210609"</f>
        <v>20210609</v>
      </c>
      <c r="L269" t="s">
        <v>18</v>
      </c>
      <c r="M269" t="str">
        <f>"20140313"</f>
        <v>20140313</v>
      </c>
    </row>
    <row r="270" spans="1:13" x14ac:dyDescent="0.25">
      <c r="A270" t="str">
        <f>"00933105"</f>
        <v>00933105</v>
      </c>
      <c r="B270" t="s">
        <v>363</v>
      </c>
      <c r="C270" t="s">
        <v>364</v>
      </c>
      <c r="D270" t="s">
        <v>61</v>
      </c>
      <c r="E270" t="s">
        <v>16</v>
      </c>
      <c r="F270" t="s">
        <v>17</v>
      </c>
      <c r="G270" t="str">
        <f>"02"</f>
        <v>02</v>
      </c>
      <c r="H270" t="str">
        <f>"7  "</f>
        <v xml:space="preserve">7  </v>
      </c>
      <c r="I270" t="str">
        <f>"2020/07/16"</f>
        <v>2020/07/16</v>
      </c>
      <c r="J270" t="str">
        <f>"110"</f>
        <v>110</v>
      </c>
      <c r="K270" t="s">
        <v>18</v>
      </c>
      <c r="L270" t="str">
        <f>"20311117"</f>
        <v>20311117</v>
      </c>
      <c r="M270" t="str">
        <f>"20100324"</f>
        <v>20100324</v>
      </c>
    </row>
    <row r="271" spans="1:13" x14ac:dyDescent="0.25">
      <c r="A271" t="str">
        <f>"00476752"</f>
        <v>00476752</v>
      </c>
      <c r="B271" t="s">
        <v>363</v>
      </c>
      <c r="C271" t="s">
        <v>66</v>
      </c>
      <c r="D271" t="s">
        <v>37</v>
      </c>
      <c r="E271" t="s">
        <v>16</v>
      </c>
      <c r="F271" t="s">
        <v>17</v>
      </c>
      <c r="G271" t="str">
        <f>"02"</f>
        <v>02</v>
      </c>
      <c r="H271" t="str">
        <f>"3  "</f>
        <v xml:space="preserve">3  </v>
      </c>
      <c r="I271" t="str">
        <f>"2015/03/24"</f>
        <v>2015/03/24</v>
      </c>
      <c r="J271" t="str">
        <f>"510"</f>
        <v>510</v>
      </c>
      <c r="K271" t="str">
        <f>"20310403"</f>
        <v>20310403</v>
      </c>
      <c r="L271" t="s">
        <v>18</v>
      </c>
      <c r="M271" t="str">
        <f>"20130614"</f>
        <v>20130614</v>
      </c>
    </row>
    <row r="272" spans="1:13" x14ac:dyDescent="0.25">
      <c r="A272" t="str">
        <f>"00552038"</f>
        <v>00552038</v>
      </c>
      <c r="B272" t="s">
        <v>365</v>
      </c>
      <c r="C272" t="s">
        <v>327</v>
      </c>
      <c r="D272" t="s">
        <v>15</v>
      </c>
      <c r="E272" t="s">
        <v>16</v>
      </c>
      <c r="F272" t="s">
        <v>17</v>
      </c>
      <c r="G272" t="str">
        <f>"02"</f>
        <v>02</v>
      </c>
      <c r="H272" t="str">
        <f>"0  "</f>
        <v xml:space="preserve">0  </v>
      </c>
      <c r="I272" t="str">
        <f>"2019/04/04"</f>
        <v>2019/04/04</v>
      </c>
      <c r="J272" t="str">
        <f>"503"</f>
        <v>503</v>
      </c>
      <c r="K272" t="s">
        <v>18</v>
      </c>
      <c r="L272" t="s">
        <v>18</v>
      </c>
      <c r="M272" t="s">
        <v>18</v>
      </c>
    </row>
    <row r="273" spans="1:13" x14ac:dyDescent="0.25">
      <c r="A273" t="str">
        <f>"00141903"</f>
        <v>00141903</v>
      </c>
      <c r="B273" t="s">
        <v>366</v>
      </c>
      <c r="C273" t="s">
        <v>367</v>
      </c>
      <c r="D273" t="s">
        <v>179</v>
      </c>
      <c r="E273" t="s">
        <v>16</v>
      </c>
      <c r="F273" t="s">
        <v>17</v>
      </c>
      <c r="G273" t="str">
        <f>"02"</f>
        <v>02</v>
      </c>
      <c r="H273" t="str">
        <f>"7  "</f>
        <v xml:space="preserve">7  </v>
      </c>
      <c r="I273" t="str">
        <f>"2007/10/16"</f>
        <v>2007/10/16</v>
      </c>
      <c r="J273" t="str">
        <f>"510"</f>
        <v>510</v>
      </c>
      <c r="K273" t="s">
        <v>18</v>
      </c>
      <c r="L273" t="s">
        <v>18</v>
      </c>
      <c r="M273" t="str">
        <f>"20041028"</f>
        <v>20041028</v>
      </c>
    </row>
    <row r="274" spans="1:13" x14ac:dyDescent="0.25">
      <c r="A274" t="str">
        <f>"00133586"</f>
        <v>00133586</v>
      </c>
      <c r="B274" t="s">
        <v>374</v>
      </c>
      <c r="C274" t="s">
        <v>320</v>
      </c>
      <c r="D274" t="s">
        <v>31</v>
      </c>
      <c r="E274" t="s">
        <v>16</v>
      </c>
      <c r="F274" t="s">
        <v>17</v>
      </c>
      <c r="G274" t="str">
        <f>"02"</f>
        <v>02</v>
      </c>
      <c r="H274" t="str">
        <f>"3  "</f>
        <v xml:space="preserve">3  </v>
      </c>
      <c r="I274" t="str">
        <f>"2011/06/07"</f>
        <v>2011/06/07</v>
      </c>
      <c r="J274" t="str">
        <f>"510"</f>
        <v>510</v>
      </c>
      <c r="K274" t="str">
        <f>"20290125"</f>
        <v>20290125</v>
      </c>
      <c r="L274" t="s">
        <v>18</v>
      </c>
      <c r="M274" t="str">
        <f>"20100227"</f>
        <v>20100227</v>
      </c>
    </row>
    <row r="275" spans="1:13" x14ac:dyDescent="0.25">
      <c r="A275" t="str">
        <f>"00558964"</f>
        <v>00558964</v>
      </c>
      <c r="B275" t="s">
        <v>377</v>
      </c>
      <c r="C275" t="s">
        <v>378</v>
      </c>
      <c r="D275" t="s">
        <v>25</v>
      </c>
      <c r="E275" t="s">
        <v>26</v>
      </c>
      <c r="F275" t="s">
        <v>17</v>
      </c>
      <c r="G275" t="str">
        <f>"02"</f>
        <v>02</v>
      </c>
      <c r="H275" t="str">
        <f>"3  "</f>
        <v xml:space="preserve">3  </v>
      </c>
      <c r="I275" t="str">
        <f>"2018/08/31"</f>
        <v>2018/08/31</v>
      </c>
      <c r="J275" t="str">
        <f>"510"</f>
        <v>510</v>
      </c>
      <c r="K275" t="str">
        <f>"20231129"</f>
        <v>20231129</v>
      </c>
      <c r="L275" t="s">
        <v>18</v>
      </c>
      <c r="M275" t="str">
        <f>"20160507"</f>
        <v>20160507</v>
      </c>
    </row>
    <row r="276" spans="1:13" x14ac:dyDescent="0.25">
      <c r="A276" t="str">
        <f>"00807483"</f>
        <v>00807483</v>
      </c>
      <c r="B276" t="s">
        <v>380</v>
      </c>
      <c r="C276" t="s">
        <v>140</v>
      </c>
      <c r="D276" t="s">
        <v>25</v>
      </c>
      <c r="E276" t="s">
        <v>16</v>
      </c>
      <c r="F276" t="s">
        <v>17</v>
      </c>
      <c r="G276" t="str">
        <f>"02"</f>
        <v>02</v>
      </c>
      <c r="H276" t="str">
        <f>"3  "</f>
        <v xml:space="preserve">3  </v>
      </c>
      <c r="I276" t="str">
        <f>"2018/08/27"</f>
        <v>2018/08/27</v>
      </c>
      <c r="J276" t="str">
        <f>"503"</f>
        <v>503</v>
      </c>
      <c r="K276" t="str">
        <f>"20391120"</f>
        <v>20391120</v>
      </c>
      <c r="L276" t="s">
        <v>18</v>
      </c>
      <c r="M276" t="str">
        <f>"20151110"</f>
        <v>20151110</v>
      </c>
    </row>
    <row r="277" spans="1:13" x14ac:dyDescent="0.25">
      <c r="A277" t="str">
        <f>"00444879"</f>
        <v>00444879</v>
      </c>
      <c r="B277" t="s">
        <v>383</v>
      </c>
      <c r="C277" t="s">
        <v>135</v>
      </c>
      <c r="D277" t="s">
        <v>25</v>
      </c>
      <c r="E277" t="s">
        <v>26</v>
      </c>
      <c r="F277" t="s">
        <v>17</v>
      </c>
      <c r="G277" t="str">
        <f>"02"</f>
        <v>02</v>
      </c>
      <c r="H277" t="str">
        <f>"3  "</f>
        <v xml:space="preserve">3  </v>
      </c>
      <c r="I277" t="str">
        <f>"2013/09/16"</f>
        <v>2013/09/16</v>
      </c>
      <c r="J277" t="str">
        <f>"510"</f>
        <v>510</v>
      </c>
      <c r="K277" t="str">
        <f>"20210201"</f>
        <v>20210201</v>
      </c>
      <c r="L277" t="s">
        <v>18</v>
      </c>
      <c r="M277" t="str">
        <f>"20121005"</f>
        <v>20121005</v>
      </c>
    </row>
    <row r="278" spans="1:13" x14ac:dyDescent="0.25">
      <c r="A278" t="str">
        <f>"00196350"</f>
        <v>00196350</v>
      </c>
      <c r="B278" t="s">
        <v>383</v>
      </c>
      <c r="C278" t="s">
        <v>385</v>
      </c>
      <c r="D278" t="s">
        <v>16</v>
      </c>
      <c r="E278" t="s">
        <v>26</v>
      </c>
      <c r="F278" t="s">
        <v>17</v>
      </c>
      <c r="G278" t="str">
        <f>"02"</f>
        <v>02</v>
      </c>
      <c r="H278" t="str">
        <f>"7  "</f>
        <v xml:space="preserve">7  </v>
      </c>
      <c r="I278" t="str">
        <f>"2011/02/03"</f>
        <v>2011/02/03</v>
      </c>
      <c r="J278" t="str">
        <f>"503"</f>
        <v>503</v>
      </c>
      <c r="K278" t="s">
        <v>18</v>
      </c>
      <c r="L278" t="str">
        <f>"20120310"</f>
        <v>20120310</v>
      </c>
      <c r="M278" t="str">
        <f>"19831203"</f>
        <v>19831203</v>
      </c>
    </row>
    <row r="279" spans="1:13" x14ac:dyDescent="0.25">
      <c r="A279" t="str">
        <f>"00511210"</f>
        <v>00511210</v>
      </c>
      <c r="B279" t="s">
        <v>388</v>
      </c>
      <c r="C279" t="s">
        <v>264</v>
      </c>
      <c r="D279" t="s">
        <v>51</v>
      </c>
      <c r="E279" t="s">
        <v>16</v>
      </c>
      <c r="F279" t="s">
        <v>17</v>
      </c>
      <c r="G279" t="str">
        <f>"02"</f>
        <v>02</v>
      </c>
      <c r="H279" t="str">
        <f>"3  "</f>
        <v xml:space="preserve">3  </v>
      </c>
      <c r="I279" t="str">
        <f>"2020/09/02"</f>
        <v>2020/09/02</v>
      </c>
      <c r="J279" t="str">
        <f>"533"</f>
        <v>533</v>
      </c>
      <c r="K279" t="str">
        <f>"20411229"</f>
        <v>20411229</v>
      </c>
      <c r="L279" t="s">
        <v>18</v>
      </c>
      <c r="M279" t="str">
        <f>"20090805"</f>
        <v>20090805</v>
      </c>
    </row>
    <row r="280" spans="1:13" x14ac:dyDescent="0.25">
      <c r="A280" t="str">
        <f>"00468330"</f>
        <v>00468330</v>
      </c>
      <c r="B280" t="s">
        <v>392</v>
      </c>
      <c r="C280" t="s">
        <v>249</v>
      </c>
      <c r="D280" t="s">
        <v>51</v>
      </c>
      <c r="E280" t="s">
        <v>16</v>
      </c>
      <c r="F280" t="s">
        <v>17</v>
      </c>
      <c r="G280" t="str">
        <f>"02"</f>
        <v>02</v>
      </c>
      <c r="H280" t="str">
        <f>"3  "</f>
        <v xml:space="preserve">3  </v>
      </c>
      <c r="I280" t="str">
        <f>"2012/02/08"</f>
        <v>2012/02/08</v>
      </c>
      <c r="J280" t="str">
        <f>"503"</f>
        <v>503</v>
      </c>
      <c r="K280" t="str">
        <f>"20231229"</f>
        <v>20231229</v>
      </c>
      <c r="L280" t="s">
        <v>18</v>
      </c>
      <c r="M280" t="str">
        <f>"20111216"</f>
        <v>20111216</v>
      </c>
    </row>
    <row r="281" spans="1:13" x14ac:dyDescent="0.25">
      <c r="A281" t="str">
        <f>"00175949"</f>
        <v>00175949</v>
      </c>
      <c r="B281" t="s">
        <v>393</v>
      </c>
      <c r="C281" t="s">
        <v>250</v>
      </c>
      <c r="D281" t="s">
        <v>53</v>
      </c>
      <c r="E281" t="s">
        <v>26</v>
      </c>
      <c r="F281" t="s">
        <v>17</v>
      </c>
      <c r="G281" t="str">
        <f>"02"</f>
        <v>02</v>
      </c>
      <c r="H281" t="str">
        <f>"3  "</f>
        <v xml:space="preserve">3  </v>
      </c>
      <c r="I281" t="str">
        <f>"2018/09/05"</f>
        <v>2018/09/05</v>
      </c>
      <c r="J281" t="str">
        <f>"503"</f>
        <v>503</v>
      </c>
      <c r="K281" t="str">
        <f>"20391021"</f>
        <v>20391021</v>
      </c>
      <c r="L281" t="s">
        <v>18</v>
      </c>
      <c r="M281" t="str">
        <f>"20170714"</f>
        <v>20170714</v>
      </c>
    </row>
    <row r="282" spans="1:13" x14ac:dyDescent="0.25">
      <c r="A282" t="str">
        <f>"00315398"</f>
        <v>00315398</v>
      </c>
      <c r="B282" t="s">
        <v>396</v>
      </c>
      <c r="C282" t="s">
        <v>333</v>
      </c>
      <c r="D282" t="s">
        <v>16</v>
      </c>
      <c r="E282" t="s">
        <v>26</v>
      </c>
      <c r="F282" t="s">
        <v>17</v>
      </c>
      <c r="G282" t="str">
        <f>"02"</f>
        <v>02</v>
      </c>
      <c r="H282" t="str">
        <f>"3  "</f>
        <v xml:space="preserve">3  </v>
      </c>
      <c r="I282" t="str">
        <f>"2020/01/29"</f>
        <v>2020/01/29</v>
      </c>
      <c r="J282" t="str">
        <f>"510"</f>
        <v>510</v>
      </c>
      <c r="K282" t="str">
        <f>"20280302"</f>
        <v>20280302</v>
      </c>
      <c r="L282" t="s">
        <v>18</v>
      </c>
      <c r="M282" t="str">
        <f>"20190305"</f>
        <v>20190305</v>
      </c>
    </row>
    <row r="283" spans="1:13" x14ac:dyDescent="0.25">
      <c r="A283" t="str">
        <f>"00315287"</f>
        <v>00315287</v>
      </c>
      <c r="B283" t="s">
        <v>396</v>
      </c>
      <c r="C283" t="s">
        <v>397</v>
      </c>
      <c r="D283" t="s">
        <v>51</v>
      </c>
      <c r="E283" t="s">
        <v>26</v>
      </c>
      <c r="F283" t="s">
        <v>17</v>
      </c>
      <c r="G283" t="str">
        <f>"02"</f>
        <v>02</v>
      </c>
      <c r="H283" t="str">
        <f>"3  "</f>
        <v xml:space="preserve">3  </v>
      </c>
      <c r="I283" t="str">
        <f>"2019/11/22"</f>
        <v>2019/11/22</v>
      </c>
      <c r="J283" t="str">
        <f>"510"</f>
        <v>510</v>
      </c>
      <c r="K283" t="str">
        <f>"20360113"</f>
        <v>20360113</v>
      </c>
      <c r="L283" t="s">
        <v>18</v>
      </c>
      <c r="M283" t="str">
        <f>"20170807"</f>
        <v>20170807</v>
      </c>
    </row>
    <row r="284" spans="1:13" x14ac:dyDescent="0.25">
      <c r="A284" t="str">
        <f>"00327447"</f>
        <v>00327447</v>
      </c>
      <c r="B284" t="s">
        <v>396</v>
      </c>
      <c r="C284" t="s">
        <v>398</v>
      </c>
      <c r="D284" t="s">
        <v>21</v>
      </c>
      <c r="E284" t="s">
        <v>26</v>
      </c>
      <c r="F284" t="s">
        <v>17</v>
      </c>
      <c r="G284" t="str">
        <f>"02"</f>
        <v>02</v>
      </c>
      <c r="H284" t="str">
        <f>"3  "</f>
        <v xml:space="preserve">3  </v>
      </c>
      <c r="I284" t="str">
        <f>"2017/08/07"</f>
        <v>2017/08/07</v>
      </c>
      <c r="J284" t="str">
        <f>"110"</f>
        <v>110</v>
      </c>
      <c r="K284" t="str">
        <f>"20300228"</f>
        <v>20300228</v>
      </c>
      <c r="L284" t="s">
        <v>18</v>
      </c>
      <c r="M284" t="str">
        <f>"20161112"</f>
        <v>20161112</v>
      </c>
    </row>
    <row r="285" spans="1:13" x14ac:dyDescent="0.25">
      <c r="A285" t="str">
        <f>"00542065"</f>
        <v>00542065</v>
      </c>
      <c r="B285" t="s">
        <v>396</v>
      </c>
      <c r="C285" t="s">
        <v>74</v>
      </c>
      <c r="D285" t="s">
        <v>26</v>
      </c>
      <c r="E285" t="s">
        <v>26</v>
      </c>
      <c r="F285" t="s">
        <v>17</v>
      </c>
      <c r="G285" t="str">
        <f>"02"</f>
        <v>02</v>
      </c>
      <c r="H285" t="str">
        <f>"3  "</f>
        <v xml:space="preserve">3  </v>
      </c>
      <c r="I285" t="str">
        <f>"2017/08/28"</f>
        <v>2017/08/28</v>
      </c>
      <c r="J285" t="str">
        <f>"503"</f>
        <v>503</v>
      </c>
      <c r="K285" t="str">
        <f>"20230424"</f>
        <v>20230424</v>
      </c>
      <c r="L285" t="s">
        <v>18</v>
      </c>
      <c r="M285" t="str">
        <f>"20160119"</f>
        <v>20160119</v>
      </c>
    </row>
    <row r="286" spans="1:13" x14ac:dyDescent="0.25">
      <c r="A286" t="str">
        <f>"00543782"</f>
        <v>00543782</v>
      </c>
      <c r="B286" t="s">
        <v>396</v>
      </c>
      <c r="C286" t="s">
        <v>401</v>
      </c>
      <c r="D286" t="s">
        <v>25</v>
      </c>
      <c r="E286" t="s">
        <v>26</v>
      </c>
      <c r="F286" t="s">
        <v>17</v>
      </c>
      <c r="G286" t="str">
        <f>"02"</f>
        <v>02</v>
      </c>
      <c r="H286" t="str">
        <f>"7  "</f>
        <v xml:space="preserve">7  </v>
      </c>
      <c r="I286" t="str">
        <f>"2013/06/26"</f>
        <v>2013/06/26</v>
      </c>
      <c r="J286" t="str">
        <f>"110"</f>
        <v>110</v>
      </c>
      <c r="K286" t="s">
        <v>18</v>
      </c>
      <c r="L286" t="s">
        <v>18</v>
      </c>
      <c r="M286" t="str">
        <f>"20110806"</f>
        <v>20110806</v>
      </c>
    </row>
    <row r="287" spans="1:13" x14ac:dyDescent="0.25">
      <c r="A287" t="str">
        <f>"00265229"</f>
        <v>00265229</v>
      </c>
      <c r="B287" t="s">
        <v>403</v>
      </c>
      <c r="C287" t="s">
        <v>404</v>
      </c>
      <c r="D287" t="s">
        <v>37</v>
      </c>
      <c r="E287" t="s">
        <v>16</v>
      </c>
      <c r="F287" t="s">
        <v>17</v>
      </c>
      <c r="G287" t="str">
        <f>"02"</f>
        <v>02</v>
      </c>
      <c r="H287" t="str">
        <f>"3  "</f>
        <v xml:space="preserve">3  </v>
      </c>
      <c r="I287" t="str">
        <f>"2011/01/11"</f>
        <v>2011/01/11</v>
      </c>
      <c r="J287" t="str">
        <f>"503"</f>
        <v>503</v>
      </c>
      <c r="K287" t="str">
        <f>"22420609"</f>
        <v>22420609</v>
      </c>
      <c r="L287" t="s">
        <v>18</v>
      </c>
      <c r="M287" t="str">
        <f>"20090118"</f>
        <v>20090118</v>
      </c>
    </row>
    <row r="288" spans="1:13" x14ac:dyDescent="0.25">
      <c r="A288" t="str">
        <f>"00700253"</f>
        <v>00700253</v>
      </c>
      <c r="B288" t="s">
        <v>406</v>
      </c>
      <c r="C288" t="s">
        <v>125</v>
      </c>
      <c r="D288" t="s">
        <v>61</v>
      </c>
      <c r="E288" t="s">
        <v>16</v>
      </c>
      <c r="F288" t="s">
        <v>17</v>
      </c>
      <c r="G288" t="str">
        <f>"02"</f>
        <v>02</v>
      </c>
      <c r="H288" t="str">
        <f>"3  "</f>
        <v xml:space="preserve">3  </v>
      </c>
      <c r="I288" t="str">
        <f>"2017/12/06"</f>
        <v>2017/12/06</v>
      </c>
      <c r="J288" t="str">
        <f>"120"</f>
        <v>120</v>
      </c>
      <c r="K288" t="str">
        <f>"20261028"</f>
        <v>20261028</v>
      </c>
      <c r="L288" t="s">
        <v>18</v>
      </c>
      <c r="M288" t="str">
        <f>"20171115"</f>
        <v>20171115</v>
      </c>
    </row>
    <row r="289" spans="1:13" x14ac:dyDescent="0.25">
      <c r="A289" t="str">
        <f>"00608186"</f>
        <v>00608186</v>
      </c>
      <c r="B289" t="s">
        <v>412</v>
      </c>
      <c r="C289" t="s">
        <v>74</v>
      </c>
      <c r="D289" t="s">
        <v>31</v>
      </c>
      <c r="E289" t="s">
        <v>16</v>
      </c>
      <c r="F289" t="s">
        <v>17</v>
      </c>
      <c r="G289" t="str">
        <f>"02"</f>
        <v>02</v>
      </c>
      <c r="H289" t="str">
        <f>"3  "</f>
        <v xml:space="preserve">3  </v>
      </c>
      <c r="I289" t="str">
        <f>"2020/09/02"</f>
        <v>2020/09/02</v>
      </c>
      <c r="J289" t="str">
        <f>"533"</f>
        <v>533</v>
      </c>
      <c r="K289" t="str">
        <f>"20250313"</f>
        <v>20250313</v>
      </c>
      <c r="L289" t="s">
        <v>18</v>
      </c>
      <c r="M289" t="str">
        <f>"20170318"</f>
        <v>20170318</v>
      </c>
    </row>
    <row r="290" spans="1:13" x14ac:dyDescent="0.25">
      <c r="A290" t="str">
        <f>"00443652"</f>
        <v>00443652</v>
      </c>
      <c r="B290" t="s">
        <v>421</v>
      </c>
      <c r="C290" t="s">
        <v>44</v>
      </c>
      <c r="D290" t="s">
        <v>40</v>
      </c>
      <c r="E290" t="s">
        <v>26</v>
      </c>
      <c r="F290" t="s">
        <v>17</v>
      </c>
      <c r="G290" t="str">
        <f>"02"</f>
        <v>02</v>
      </c>
      <c r="H290" t="str">
        <f>"3  "</f>
        <v xml:space="preserve">3  </v>
      </c>
      <c r="I290" t="str">
        <f>"2018/10/12"</f>
        <v>2018/10/12</v>
      </c>
      <c r="J290" t="str">
        <f>"510"</f>
        <v>510</v>
      </c>
      <c r="K290" t="str">
        <f>"20220126"</f>
        <v>20220126</v>
      </c>
      <c r="L290" t="s">
        <v>18</v>
      </c>
      <c r="M290" t="str">
        <f>"20160906"</f>
        <v>20160906</v>
      </c>
    </row>
    <row r="291" spans="1:13" x14ac:dyDescent="0.25">
      <c r="A291" t="str">
        <f>"00424325"</f>
        <v>00424325</v>
      </c>
      <c r="B291" t="s">
        <v>421</v>
      </c>
      <c r="C291" t="s">
        <v>423</v>
      </c>
      <c r="D291" t="s">
        <v>15</v>
      </c>
      <c r="E291" t="s">
        <v>26</v>
      </c>
      <c r="F291" t="s">
        <v>17</v>
      </c>
      <c r="G291" t="str">
        <f>"02"</f>
        <v>02</v>
      </c>
      <c r="H291" t="str">
        <f>"0  "</f>
        <v xml:space="preserve">0  </v>
      </c>
      <c r="I291" t="str">
        <f>"2020/07/27"</f>
        <v>2020/07/27</v>
      </c>
      <c r="J291" t="str">
        <f>"510"</f>
        <v>510</v>
      </c>
      <c r="K291" t="s">
        <v>18</v>
      </c>
      <c r="L291" t="s">
        <v>18</v>
      </c>
      <c r="M291" t="s">
        <v>18</v>
      </c>
    </row>
    <row r="292" spans="1:13" x14ac:dyDescent="0.25">
      <c r="A292" t="str">
        <f>"00362349"</f>
        <v>00362349</v>
      </c>
      <c r="B292" t="s">
        <v>421</v>
      </c>
      <c r="C292" t="s">
        <v>424</v>
      </c>
      <c r="D292" t="s">
        <v>31</v>
      </c>
      <c r="E292" t="s">
        <v>26</v>
      </c>
      <c r="F292" t="s">
        <v>17</v>
      </c>
      <c r="G292" t="str">
        <f>"02"</f>
        <v>02</v>
      </c>
      <c r="H292" t="str">
        <f>"3  "</f>
        <v xml:space="preserve">3  </v>
      </c>
      <c r="I292" t="str">
        <f>"2016/03/30"</f>
        <v>2016/03/30</v>
      </c>
      <c r="J292" t="str">
        <f>"510"</f>
        <v>510</v>
      </c>
      <c r="K292" t="str">
        <f>"20260907"</f>
        <v>20260907</v>
      </c>
      <c r="L292" t="s">
        <v>18</v>
      </c>
      <c r="M292" t="str">
        <f>"20131205"</f>
        <v>20131205</v>
      </c>
    </row>
    <row r="293" spans="1:13" x14ac:dyDescent="0.25">
      <c r="A293" t="str">
        <f>"00614772"</f>
        <v>00614772</v>
      </c>
      <c r="B293" t="s">
        <v>425</v>
      </c>
      <c r="C293" t="s">
        <v>426</v>
      </c>
      <c r="D293" t="s">
        <v>53</v>
      </c>
      <c r="E293" t="s">
        <v>16</v>
      </c>
      <c r="F293" t="s">
        <v>17</v>
      </c>
      <c r="G293" t="str">
        <f>"02"</f>
        <v>02</v>
      </c>
      <c r="H293" t="str">
        <f>"3  "</f>
        <v xml:space="preserve">3  </v>
      </c>
      <c r="I293" t="str">
        <f>"2020/08/25"</f>
        <v>2020/08/25</v>
      </c>
      <c r="J293" t="str">
        <f>"503"</f>
        <v>503</v>
      </c>
      <c r="K293" t="str">
        <f>"20250818"</f>
        <v>20250818</v>
      </c>
      <c r="L293" t="s">
        <v>18</v>
      </c>
      <c r="M293" t="str">
        <f>"20200115"</f>
        <v>20200115</v>
      </c>
    </row>
    <row r="294" spans="1:13" x14ac:dyDescent="0.25">
      <c r="A294" t="str">
        <f>"00260625"</f>
        <v>00260625</v>
      </c>
      <c r="B294" t="s">
        <v>427</v>
      </c>
      <c r="C294" t="s">
        <v>66</v>
      </c>
      <c r="D294" t="s">
        <v>21</v>
      </c>
      <c r="E294" t="s">
        <v>16</v>
      </c>
      <c r="F294" t="s">
        <v>17</v>
      </c>
      <c r="G294" t="str">
        <f>"02"</f>
        <v>02</v>
      </c>
      <c r="H294" t="str">
        <f>"7  "</f>
        <v xml:space="preserve">7  </v>
      </c>
      <c r="I294" t="str">
        <f>"2009/04/27"</f>
        <v>2009/04/27</v>
      </c>
      <c r="J294" t="str">
        <f>"510"</f>
        <v>510</v>
      </c>
      <c r="K294" t="s">
        <v>18</v>
      </c>
      <c r="L294" t="s">
        <v>18</v>
      </c>
      <c r="M294" t="str">
        <f>"20070227"</f>
        <v>20070227</v>
      </c>
    </row>
    <row r="295" spans="1:13" x14ac:dyDescent="0.25">
      <c r="A295" t="str">
        <f>"00319264"</f>
        <v>00319264</v>
      </c>
      <c r="B295" t="s">
        <v>435</v>
      </c>
      <c r="C295" t="s">
        <v>96</v>
      </c>
      <c r="D295" t="s">
        <v>15</v>
      </c>
      <c r="E295" t="s">
        <v>26</v>
      </c>
      <c r="F295" t="s">
        <v>17</v>
      </c>
      <c r="G295" t="str">
        <f>"02"</f>
        <v>02</v>
      </c>
      <c r="H295" t="str">
        <f>"3  "</f>
        <v xml:space="preserve">3  </v>
      </c>
      <c r="I295" t="str">
        <f>"1997/11/21"</f>
        <v>1997/11/21</v>
      </c>
      <c r="J295" t="str">
        <f>"503"</f>
        <v>503</v>
      </c>
      <c r="K295" t="str">
        <f>"20221225"</f>
        <v>20221225</v>
      </c>
      <c r="L295" t="s">
        <v>18</v>
      </c>
      <c r="M295" t="str">
        <f>"19961125"</f>
        <v>19961125</v>
      </c>
    </row>
    <row r="296" spans="1:13" x14ac:dyDescent="0.25">
      <c r="A296" t="str">
        <f>"00574490"</f>
        <v>00574490</v>
      </c>
      <c r="B296" t="s">
        <v>438</v>
      </c>
      <c r="C296" t="s">
        <v>439</v>
      </c>
      <c r="D296" t="s">
        <v>37</v>
      </c>
      <c r="E296" t="s">
        <v>16</v>
      </c>
      <c r="F296" t="s">
        <v>17</v>
      </c>
      <c r="G296" t="str">
        <f>"02"</f>
        <v>02</v>
      </c>
      <c r="H296" t="str">
        <f>"3  "</f>
        <v xml:space="preserve">3  </v>
      </c>
      <c r="I296" t="str">
        <f>"2019/08/09"</f>
        <v>2019/08/09</v>
      </c>
      <c r="J296" t="str">
        <f>"510"</f>
        <v>510</v>
      </c>
      <c r="K296" t="str">
        <f>"20250302"</f>
        <v>20250302</v>
      </c>
      <c r="L296" t="s">
        <v>18</v>
      </c>
      <c r="M296" t="str">
        <f>"20180518"</f>
        <v>20180518</v>
      </c>
    </row>
    <row r="297" spans="1:13" x14ac:dyDescent="0.25">
      <c r="A297" t="str">
        <f>"00870192"</f>
        <v>00870192</v>
      </c>
      <c r="B297" t="s">
        <v>441</v>
      </c>
      <c r="C297" t="s">
        <v>246</v>
      </c>
      <c r="D297" t="s">
        <v>25</v>
      </c>
      <c r="E297" t="s">
        <v>26</v>
      </c>
      <c r="F297" t="s">
        <v>17</v>
      </c>
      <c r="G297" t="str">
        <f>"02"</f>
        <v>02</v>
      </c>
      <c r="H297" t="str">
        <f>"3  "</f>
        <v xml:space="preserve">3  </v>
      </c>
      <c r="I297" t="str">
        <f>"2018/12/18"</f>
        <v>2018/12/18</v>
      </c>
      <c r="J297" t="str">
        <f>"510"</f>
        <v>510</v>
      </c>
      <c r="K297" t="str">
        <f>"20240331"</f>
        <v>20240331</v>
      </c>
      <c r="L297" t="s">
        <v>18</v>
      </c>
      <c r="M297" t="str">
        <f>"20171209"</f>
        <v>20171209</v>
      </c>
    </row>
    <row r="298" spans="1:13" x14ac:dyDescent="0.25">
      <c r="A298" t="str">
        <f>"00464366"</f>
        <v>00464366</v>
      </c>
      <c r="B298" t="s">
        <v>443</v>
      </c>
      <c r="C298" t="s">
        <v>444</v>
      </c>
      <c r="D298" t="s">
        <v>37</v>
      </c>
      <c r="E298" t="s">
        <v>26</v>
      </c>
      <c r="F298" t="s">
        <v>17</v>
      </c>
      <c r="G298" t="str">
        <f>"02"</f>
        <v>02</v>
      </c>
      <c r="H298" t="str">
        <f>"3  "</f>
        <v xml:space="preserve">3  </v>
      </c>
      <c r="I298" t="str">
        <f>"2014/10/20"</f>
        <v>2014/10/20</v>
      </c>
      <c r="J298" t="str">
        <f>"510"</f>
        <v>510</v>
      </c>
      <c r="K298" t="str">
        <f>"20250811"</f>
        <v>20250811</v>
      </c>
      <c r="L298" t="s">
        <v>18</v>
      </c>
      <c r="M298" t="str">
        <f>"20121216"</f>
        <v>20121216</v>
      </c>
    </row>
    <row r="299" spans="1:13" x14ac:dyDescent="0.25">
      <c r="A299" t="str">
        <f>"00278270"</f>
        <v>00278270</v>
      </c>
      <c r="B299" t="s">
        <v>445</v>
      </c>
      <c r="C299" t="s">
        <v>447</v>
      </c>
      <c r="D299" t="s">
        <v>121</v>
      </c>
      <c r="E299" t="s">
        <v>16</v>
      </c>
      <c r="F299" t="s">
        <v>17</v>
      </c>
      <c r="G299" t="str">
        <f>"02"</f>
        <v>02</v>
      </c>
      <c r="H299" t="str">
        <f>"3  "</f>
        <v xml:space="preserve">3  </v>
      </c>
      <c r="I299" t="str">
        <f>"2008/02/01"</f>
        <v>2008/02/01</v>
      </c>
      <c r="J299" t="str">
        <f>"110"</f>
        <v>110</v>
      </c>
      <c r="K299" t="str">
        <f>"20521228"</f>
        <v>20521228</v>
      </c>
      <c r="L299" t="s">
        <v>18</v>
      </c>
      <c r="M299" t="str">
        <f>"20080112"</f>
        <v>20080112</v>
      </c>
    </row>
    <row r="300" spans="1:13" x14ac:dyDescent="0.25">
      <c r="A300" t="str">
        <f>"00164906"</f>
        <v>00164906</v>
      </c>
      <c r="B300" t="s">
        <v>448</v>
      </c>
      <c r="C300" t="s">
        <v>451</v>
      </c>
      <c r="D300" t="s">
        <v>21</v>
      </c>
      <c r="E300" t="s">
        <v>26</v>
      </c>
      <c r="F300" t="s">
        <v>17</v>
      </c>
      <c r="G300" t="str">
        <f>"02"</f>
        <v>02</v>
      </c>
      <c r="H300" t="str">
        <f>"3  "</f>
        <v xml:space="preserve">3  </v>
      </c>
      <c r="I300" t="str">
        <f>"2004/09/13"</f>
        <v>2004/09/13</v>
      </c>
      <c r="J300" t="str">
        <f>"510"</f>
        <v>510</v>
      </c>
      <c r="K300" t="str">
        <f>"20430814"</f>
        <v>20430814</v>
      </c>
      <c r="L300" t="s">
        <v>18</v>
      </c>
      <c r="M300" t="str">
        <f>"20031026"</f>
        <v>20031026</v>
      </c>
    </row>
    <row r="301" spans="1:13" x14ac:dyDescent="0.25">
      <c r="A301" t="str">
        <f>"00805869"</f>
        <v>00805869</v>
      </c>
      <c r="B301" t="s">
        <v>457</v>
      </c>
      <c r="C301" t="s">
        <v>458</v>
      </c>
      <c r="D301" t="s">
        <v>80</v>
      </c>
      <c r="E301" t="s">
        <v>26</v>
      </c>
      <c r="F301" t="s">
        <v>17</v>
      </c>
      <c r="G301" t="str">
        <f>"02"</f>
        <v>02</v>
      </c>
      <c r="H301" t="str">
        <f>"0  "</f>
        <v xml:space="preserve">0  </v>
      </c>
      <c r="I301" t="str">
        <f>"2019/01/09"</f>
        <v>2019/01/09</v>
      </c>
      <c r="J301" t="str">
        <f>"503"</f>
        <v>503</v>
      </c>
      <c r="K301" t="s">
        <v>18</v>
      </c>
      <c r="L301" t="s">
        <v>18</v>
      </c>
      <c r="M301" t="s">
        <v>18</v>
      </c>
    </row>
    <row r="302" spans="1:13" x14ac:dyDescent="0.25">
      <c r="A302" t="str">
        <f>"00222906"</f>
        <v>00222906</v>
      </c>
      <c r="B302" t="s">
        <v>469</v>
      </c>
      <c r="C302" t="s">
        <v>59</v>
      </c>
      <c r="D302" t="s">
        <v>47</v>
      </c>
      <c r="E302" t="s">
        <v>16</v>
      </c>
      <c r="F302" t="s">
        <v>17</v>
      </c>
      <c r="G302" t="str">
        <f>"02"</f>
        <v>02</v>
      </c>
      <c r="H302" t="str">
        <f>"7  "</f>
        <v xml:space="preserve">7  </v>
      </c>
      <c r="I302" t="str">
        <f>"2014/04/01"</f>
        <v>2014/04/01</v>
      </c>
      <c r="J302" t="str">
        <f>"110"</f>
        <v>110</v>
      </c>
      <c r="K302" t="s">
        <v>18</v>
      </c>
      <c r="L302" t="s">
        <v>18</v>
      </c>
      <c r="M302" t="str">
        <f>"20130723"</f>
        <v>20130723</v>
      </c>
    </row>
    <row r="303" spans="1:13" x14ac:dyDescent="0.25">
      <c r="A303" t="str">
        <f>"00708319"</f>
        <v>00708319</v>
      </c>
      <c r="B303" t="s">
        <v>472</v>
      </c>
      <c r="C303" t="s">
        <v>96</v>
      </c>
      <c r="D303" t="s">
        <v>40</v>
      </c>
      <c r="E303" t="s">
        <v>16</v>
      </c>
      <c r="F303" t="s">
        <v>17</v>
      </c>
      <c r="G303" t="str">
        <f>"02"</f>
        <v>02</v>
      </c>
      <c r="H303" t="str">
        <f>"3  "</f>
        <v xml:space="preserve">3  </v>
      </c>
      <c r="I303" t="str">
        <f>"2015/11/13"</f>
        <v>2015/11/13</v>
      </c>
      <c r="J303" t="str">
        <f>"110"</f>
        <v>110</v>
      </c>
      <c r="K303" t="str">
        <f>"20210909"</f>
        <v>20210909</v>
      </c>
      <c r="L303" t="s">
        <v>18</v>
      </c>
      <c r="M303" t="str">
        <f>"20151028"</f>
        <v>20151028</v>
      </c>
    </row>
    <row r="304" spans="1:13" x14ac:dyDescent="0.25">
      <c r="A304" t="str">
        <f>"00144905"</f>
        <v>00144905</v>
      </c>
      <c r="B304" t="s">
        <v>480</v>
      </c>
      <c r="C304" t="s">
        <v>96</v>
      </c>
      <c r="D304" t="s">
        <v>51</v>
      </c>
      <c r="E304" t="s">
        <v>26</v>
      </c>
      <c r="F304" t="s">
        <v>17</v>
      </c>
      <c r="G304" t="str">
        <f>"02"</f>
        <v>02</v>
      </c>
      <c r="H304" t="str">
        <f>"7  "</f>
        <v xml:space="preserve">7  </v>
      </c>
      <c r="I304" t="str">
        <f>"1988/04/07"</f>
        <v>1988/04/07</v>
      </c>
      <c r="J304" t="str">
        <f>"824"</f>
        <v>824</v>
      </c>
      <c r="K304" t="s">
        <v>18</v>
      </c>
      <c r="L304" t="s">
        <v>18</v>
      </c>
      <c r="M304" t="str">
        <f>"19820711"</f>
        <v>19820711</v>
      </c>
    </row>
    <row r="305" spans="1:13" x14ac:dyDescent="0.25">
      <c r="A305" t="str">
        <f>"00229654"</f>
        <v>00229654</v>
      </c>
      <c r="B305" t="s">
        <v>487</v>
      </c>
      <c r="C305" t="s">
        <v>488</v>
      </c>
      <c r="D305" t="s">
        <v>80</v>
      </c>
      <c r="E305" t="s">
        <v>26</v>
      </c>
      <c r="F305" t="s">
        <v>17</v>
      </c>
      <c r="G305" t="str">
        <f>"02"</f>
        <v>02</v>
      </c>
      <c r="H305" t="str">
        <f>"3  "</f>
        <v xml:space="preserve">3  </v>
      </c>
      <c r="I305" t="str">
        <f>"2004/11/08"</f>
        <v>2004/11/08</v>
      </c>
      <c r="J305" t="str">
        <f>"510"</f>
        <v>510</v>
      </c>
      <c r="K305" t="str">
        <f>"20290121"</f>
        <v>20290121</v>
      </c>
      <c r="L305" t="s">
        <v>18</v>
      </c>
      <c r="M305" t="str">
        <f>"20031120"</f>
        <v>20031120</v>
      </c>
    </row>
    <row r="306" spans="1:13" x14ac:dyDescent="0.25">
      <c r="A306" t="str">
        <f>"00206816"</f>
        <v>00206816</v>
      </c>
      <c r="B306" t="s">
        <v>491</v>
      </c>
      <c r="C306" t="s">
        <v>492</v>
      </c>
      <c r="D306" t="s">
        <v>80</v>
      </c>
      <c r="E306" t="s">
        <v>16</v>
      </c>
      <c r="F306" t="s">
        <v>17</v>
      </c>
      <c r="G306" t="str">
        <f>"02"</f>
        <v>02</v>
      </c>
      <c r="H306" t="str">
        <f>"7  "</f>
        <v xml:space="preserve">7  </v>
      </c>
      <c r="I306" t="str">
        <f>"2008/09/25"</f>
        <v>2008/09/25</v>
      </c>
      <c r="J306" t="str">
        <f>"503"</f>
        <v>503</v>
      </c>
      <c r="K306" t="s">
        <v>18</v>
      </c>
      <c r="L306" t="s">
        <v>18</v>
      </c>
      <c r="M306" t="str">
        <f>"19870705"</f>
        <v>19870705</v>
      </c>
    </row>
    <row r="307" spans="1:13" x14ac:dyDescent="0.25">
      <c r="A307" t="str">
        <f>"00420964"</f>
        <v>00420964</v>
      </c>
      <c r="B307" t="s">
        <v>493</v>
      </c>
      <c r="C307" t="s">
        <v>494</v>
      </c>
      <c r="D307" t="s">
        <v>25</v>
      </c>
      <c r="E307" t="s">
        <v>16</v>
      </c>
      <c r="F307" t="s">
        <v>17</v>
      </c>
      <c r="G307" t="str">
        <f>"02"</f>
        <v>02</v>
      </c>
      <c r="H307" t="str">
        <f>"3  "</f>
        <v xml:space="preserve">3  </v>
      </c>
      <c r="I307" t="str">
        <f>"2003/05/13"</f>
        <v>2003/05/13</v>
      </c>
      <c r="J307" t="str">
        <f>"510"</f>
        <v>510</v>
      </c>
      <c r="K307" t="str">
        <f>"20300805"</f>
        <v>20300805</v>
      </c>
      <c r="L307" t="s">
        <v>18</v>
      </c>
      <c r="M307" t="str">
        <f>"19990819"</f>
        <v>19990819</v>
      </c>
    </row>
    <row r="308" spans="1:13" x14ac:dyDescent="0.25">
      <c r="A308" t="str">
        <f>"00159361"</f>
        <v>00159361</v>
      </c>
      <c r="B308" t="s">
        <v>498</v>
      </c>
      <c r="C308" t="s">
        <v>244</v>
      </c>
      <c r="D308" t="s">
        <v>51</v>
      </c>
      <c r="E308" t="s">
        <v>26</v>
      </c>
      <c r="F308" t="s">
        <v>17</v>
      </c>
      <c r="G308" t="str">
        <f>"02"</f>
        <v>02</v>
      </c>
      <c r="H308" t="str">
        <f>"7  "</f>
        <v xml:space="preserve">7  </v>
      </c>
      <c r="I308" t="str">
        <f>"1987/08/07"</f>
        <v>1987/08/07</v>
      </c>
      <c r="J308" t="str">
        <f>"503"</f>
        <v>503</v>
      </c>
      <c r="K308" t="s">
        <v>18</v>
      </c>
      <c r="L308" t="str">
        <f>"19930726"</f>
        <v>19930726</v>
      </c>
      <c r="M308" t="str">
        <f>"19810512"</f>
        <v>19810512</v>
      </c>
    </row>
    <row r="309" spans="1:13" x14ac:dyDescent="0.25">
      <c r="A309" t="str">
        <f>"00194456"</f>
        <v>00194456</v>
      </c>
      <c r="B309" t="s">
        <v>502</v>
      </c>
      <c r="C309" t="s">
        <v>308</v>
      </c>
      <c r="D309" t="s">
        <v>53</v>
      </c>
      <c r="E309" t="s">
        <v>16</v>
      </c>
      <c r="F309" t="s">
        <v>17</v>
      </c>
      <c r="G309" t="str">
        <f>"02"</f>
        <v>02</v>
      </c>
      <c r="H309" t="str">
        <f>"3  "</f>
        <v xml:space="preserve">3  </v>
      </c>
      <c r="I309" t="str">
        <f>"2014/10/10"</f>
        <v>2014/10/10</v>
      </c>
      <c r="J309" t="str">
        <f>"503"</f>
        <v>503</v>
      </c>
      <c r="K309" t="str">
        <f>"20220925"</f>
        <v>20220925</v>
      </c>
      <c r="L309" t="s">
        <v>18</v>
      </c>
      <c r="M309" t="str">
        <f>"20130919"</f>
        <v>20130919</v>
      </c>
    </row>
    <row r="310" spans="1:13" x14ac:dyDescent="0.25">
      <c r="A310" t="str">
        <f>"00548976"</f>
        <v>00548976</v>
      </c>
      <c r="B310" t="s">
        <v>505</v>
      </c>
      <c r="C310" t="s">
        <v>99</v>
      </c>
      <c r="D310" t="s">
        <v>45</v>
      </c>
      <c r="E310" t="s">
        <v>26</v>
      </c>
      <c r="F310" t="s">
        <v>17</v>
      </c>
      <c r="G310" t="str">
        <f>"02"</f>
        <v>02</v>
      </c>
      <c r="H310" t="str">
        <f>"3  "</f>
        <v xml:space="preserve">3  </v>
      </c>
      <c r="I310" t="str">
        <f>"2016/11/16"</f>
        <v>2016/11/16</v>
      </c>
      <c r="J310" t="str">
        <f>"510"</f>
        <v>510</v>
      </c>
      <c r="K310" t="str">
        <f>"20540628"</f>
        <v>20540628</v>
      </c>
      <c r="L310" t="s">
        <v>18</v>
      </c>
      <c r="M310" t="str">
        <f>"20141209"</f>
        <v>20141209</v>
      </c>
    </row>
    <row r="311" spans="1:13" x14ac:dyDescent="0.25">
      <c r="A311" t="str">
        <f>"00730450"</f>
        <v>00730450</v>
      </c>
      <c r="B311" t="s">
        <v>506</v>
      </c>
      <c r="C311" t="s">
        <v>336</v>
      </c>
      <c r="D311" t="s">
        <v>25</v>
      </c>
      <c r="E311" t="s">
        <v>26</v>
      </c>
      <c r="F311" t="s">
        <v>17</v>
      </c>
      <c r="G311" t="str">
        <f>"02"</f>
        <v>02</v>
      </c>
      <c r="H311" t="str">
        <f>"3  "</f>
        <v xml:space="preserve">3  </v>
      </c>
      <c r="I311" t="str">
        <f>"2019/06/10"</f>
        <v>2019/06/10</v>
      </c>
      <c r="J311" t="str">
        <f>"503"</f>
        <v>503</v>
      </c>
      <c r="K311" t="str">
        <f>"20220811"</f>
        <v>20220811</v>
      </c>
      <c r="L311" t="s">
        <v>18</v>
      </c>
      <c r="M311" t="str">
        <f>"20180228"</f>
        <v>20180228</v>
      </c>
    </row>
    <row r="312" spans="1:13" x14ac:dyDescent="0.25">
      <c r="A312" t="str">
        <f>"00460677"</f>
        <v>00460677</v>
      </c>
      <c r="B312" t="s">
        <v>508</v>
      </c>
      <c r="C312" t="s">
        <v>509</v>
      </c>
      <c r="D312" t="s">
        <v>53</v>
      </c>
      <c r="E312" t="s">
        <v>26</v>
      </c>
      <c r="F312" t="s">
        <v>17</v>
      </c>
      <c r="G312" t="str">
        <f>"02"</f>
        <v>02</v>
      </c>
      <c r="H312" t="str">
        <f>"7  "</f>
        <v xml:space="preserve">7  </v>
      </c>
      <c r="I312" t="str">
        <f>"2018/11/27"</f>
        <v>2018/11/27</v>
      </c>
      <c r="J312" t="str">
        <f>"510"</f>
        <v>510</v>
      </c>
      <c r="K312" t="s">
        <v>18</v>
      </c>
      <c r="L312" t="s">
        <v>18</v>
      </c>
      <c r="M312" t="str">
        <f>"20160429"</f>
        <v>20160429</v>
      </c>
    </row>
    <row r="313" spans="1:13" x14ac:dyDescent="0.25">
      <c r="A313" t="str">
        <f>"00894006"</f>
        <v>00894006</v>
      </c>
      <c r="B313" t="s">
        <v>529</v>
      </c>
      <c r="C313" t="s">
        <v>530</v>
      </c>
      <c r="D313" t="s">
        <v>21</v>
      </c>
      <c r="E313" t="s">
        <v>26</v>
      </c>
      <c r="F313" t="s">
        <v>17</v>
      </c>
      <c r="G313" t="str">
        <f>"02"</f>
        <v>02</v>
      </c>
      <c r="H313" t="str">
        <f>"3  "</f>
        <v xml:space="preserve">3  </v>
      </c>
      <c r="I313" t="str">
        <f>"2020/01/06"</f>
        <v>2020/01/06</v>
      </c>
      <c r="J313" t="str">
        <f>"510"</f>
        <v>510</v>
      </c>
      <c r="K313" t="str">
        <f>"20280831"</f>
        <v>20280831</v>
      </c>
      <c r="L313" t="s">
        <v>18</v>
      </c>
      <c r="M313" t="str">
        <f>"20190815"</f>
        <v>20190815</v>
      </c>
    </row>
    <row r="314" spans="1:13" x14ac:dyDescent="0.25">
      <c r="A314" t="str">
        <f>"00335593"</f>
        <v>00335593</v>
      </c>
      <c r="B314" t="s">
        <v>529</v>
      </c>
      <c r="C314" t="s">
        <v>531</v>
      </c>
      <c r="D314" t="s">
        <v>61</v>
      </c>
      <c r="E314" t="s">
        <v>26</v>
      </c>
      <c r="F314" t="s">
        <v>17</v>
      </c>
      <c r="G314" t="str">
        <f>"02"</f>
        <v>02</v>
      </c>
      <c r="H314" t="str">
        <f>"3  "</f>
        <v xml:space="preserve">3  </v>
      </c>
      <c r="I314" t="str">
        <f>"2006/01/10"</f>
        <v>2006/01/10</v>
      </c>
      <c r="J314" t="str">
        <f>"510"</f>
        <v>510</v>
      </c>
      <c r="K314" t="str">
        <f>"20540215"</f>
        <v>20540215</v>
      </c>
      <c r="L314" t="s">
        <v>18</v>
      </c>
      <c r="M314" t="str">
        <f>"20041018"</f>
        <v>20041018</v>
      </c>
    </row>
    <row r="315" spans="1:13" x14ac:dyDescent="0.25">
      <c r="A315" t="str">
        <f>"00190299"</f>
        <v>00190299</v>
      </c>
      <c r="B315" t="s">
        <v>529</v>
      </c>
      <c r="C315" t="s">
        <v>136</v>
      </c>
      <c r="D315" t="s">
        <v>16</v>
      </c>
      <c r="E315" t="s">
        <v>16</v>
      </c>
      <c r="F315" t="s">
        <v>17</v>
      </c>
      <c r="G315" t="str">
        <f>"02"</f>
        <v>02</v>
      </c>
      <c r="H315" t="str">
        <f>"7  "</f>
        <v xml:space="preserve">7  </v>
      </c>
      <c r="I315" t="str">
        <f>"1989/03/10"</f>
        <v>1989/03/10</v>
      </c>
      <c r="J315" t="str">
        <f>"114"</f>
        <v>114</v>
      </c>
      <c r="K315" t="s">
        <v>18</v>
      </c>
      <c r="L315" t="str">
        <f>"20190807"</f>
        <v>20190807</v>
      </c>
      <c r="M315" t="str">
        <f>"19860708"</f>
        <v>19860708</v>
      </c>
    </row>
    <row r="316" spans="1:13" x14ac:dyDescent="0.25">
      <c r="A316" t="str">
        <f>"00630594"</f>
        <v>00630594</v>
      </c>
      <c r="B316" t="s">
        <v>529</v>
      </c>
      <c r="C316" t="s">
        <v>532</v>
      </c>
      <c r="D316" t="s">
        <v>25</v>
      </c>
      <c r="E316" t="s">
        <v>26</v>
      </c>
      <c r="F316" t="s">
        <v>17</v>
      </c>
      <c r="G316" t="str">
        <f>"02"</f>
        <v>02</v>
      </c>
      <c r="H316" t="str">
        <f>"3  "</f>
        <v xml:space="preserve">3  </v>
      </c>
      <c r="I316" t="str">
        <f>"2010/01/11"</f>
        <v>2010/01/11</v>
      </c>
      <c r="J316" t="str">
        <f>"110"</f>
        <v>110</v>
      </c>
      <c r="K316" t="str">
        <f>"20340520"</f>
        <v>20340520</v>
      </c>
      <c r="L316" t="s">
        <v>18</v>
      </c>
      <c r="M316" t="str">
        <f>"20081018"</f>
        <v>20081018</v>
      </c>
    </row>
    <row r="317" spans="1:13" x14ac:dyDescent="0.25">
      <c r="A317" t="str">
        <f>"00140292"</f>
        <v>00140292</v>
      </c>
      <c r="B317" t="s">
        <v>534</v>
      </c>
      <c r="C317" t="s">
        <v>74</v>
      </c>
      <c r="D317" t="s">
        <v>15</v>
      </c>
      <c r="E317" t="s">
        <v>16</v>
      </c>
      <c r="F317" t="s">
        <v>17</v>
      </c>
      <c r="G317" t="str">
        <f>"02"</f>
        <v>02</v>
      </c>
      <c r="H317" t="str">
        <f>"3  "</f>
        <v xml:space="preserve">3  </v>
      </c>
      <c r="I317" t="str">
        <f>"2019/02/22"</f>
        <v>2019/02/22</v>
      </c>
      <c r="J317" t="str">
        <f>"503"</f>
        <v>503</v>
      </c>
      <c r="K317" t="str">
        <f>"20220507"</f>
        <v>20220507</v>
      </c>
      <c r="L317" t="s">
        <v>18</v>
      </c>
      <c r="M317" t="str">
        <f>"20170825"</f>
        <v>20170825</v>
      </c>
    </row>
    <row r="318" spans="1:13" x14ac:dyDescent="0.25">
      <c r="A318" t="str">
        <f>"00307494"</f>
        <v>00307494</v>
      </c>
      <c r="B318" t="s">
        <v>534</v>
      </c>
      <c r="C318" t="s">
        <v>74</v>
      </c>
      <c r="D318" t="s">
        <v>15</v>
      </c>
      <c r="E318" t="s">
        <v>16</v>
      </c>
      <c r="F318" t="s">
        <v>17</v>
      </c>
      <c r="G318" t="str">
        <f>"02"</f>
        <v>02</v>
      </c>
      <c r="H318" t="str">
        <f>"3  "</f>
        <v xml:space="preserve">3  </v>
      </c>
      <c r="I318" t="str">
        <f>"2017/01/31"</f>
        <v>2017/01/31</v>
      </c>
      <c r="J318" t="str">
        <f>"110"</f>
        <v>110</v>
      </c>
      <c r="K318" t="str">
        <f>"20220718"</f>
        <v>20220718</v>
      </c>
      <c r="L318" t="s">
        <v>18</v>
      </c>
      <c r="M318" t="str">
        <f>"20160816"</f>
        <v>20160816</v>
      </c>
    </row>
    <row r="319" spans="1:13" x14ac:dyDescent="0.25">
      <c r="A319" t="str">
        <f>"00109364"</f>
        <v>00109364</v>
      </c>
      <c r="B319" t="s">
        <v>535</v>
      </c>
      <c r="C319" t="s">
        <v>536</v>
      </c>
      <c r="D319" t="s">
        <v>61</v>
      </c>
      <c r="E319" t="s">
        <v>26</v>
      </c>
      <c r="F319" t="s">
        <v>17</v>
      </c>
      <c r="G319" t="str">
        <f>"02"</f>
        <v>02</v>
      </c>
      <c r="H319" t="str">
        <f>"7  "</f>
        <v xml:space="preserve">7  </v>
      </c>
      <c r="I319" t="str">
        <f>"2020/07/15"</f>
        <v>2020/07/15</v>
      </c>
      <c r="J319" t="str">
        <f>"531"</f>
        <v>531</v>
      </c>
      <c r="K319" t="s">
        <v>18</v>
      </c>
      <c r="L319" t="s">
        <v>18</v>
      </c>
      <c r="M319" t="str">
        <f>"19820719"</f>
        <v>19820719</v>
      </c>
    </row>
    <row r="320" spans="1:13" x14ac:dyDescent="0.25">
      <c r="A320" t="str">
        <f>"00787791"</f>
        <v>00787791</v>
      </c>
      <c r="B320" t="s">
        <v>539</v>
      </c>
      <c r="C320" t="s">
        <v>446</v>
      </c>
      <c r="D320" t="s">
        <v>25</v>
      </c>
      <c r="E320" t="s">
        <v>26</v>
      </c>
      <c r="F320" t="s">
        <v>17</v>
      </c>
      <c r="G320" t="str">
        <f>"02"</f>
        <v>02</v>
      </c>
      <c r="H320" t="str">
        <f>"3  "</f>
        <v xml:space="preserve">3  </v>
      </c>
      <c r="I320" t="str">
        <f>"2019/05/17"</f>
        <v>2019/05/17</v>
      </c>
      <c r="J320" t="str">
        <f>"503"</f>
        <v>503</v>
      </c>
      <c r="K320" t="str">
        <f>"20210104"</f>
        <v>20210104</v>
      </c>
      <c r="L320" t="s">
        <v>18</v>
      </c>
      <c r="M320" t="str">
        <f>"20171209"</f>
        <v>20171209</v>
      </c>
    </row>
    <row r="321" spans="1:13" x14ac:dyDescent="0.25">
      <c r="A321" t="str">
        <f>"00538383"</f>
        <v>00538383</v>
      </c>
      <c r="B321" t="s">
        <v>539</v>
      </c>
      <c r="C321" t="s">
        <v>169</v>
      </c>
      <c r="D321" t="s">
        <v>51</v>
      </c>
      <c r="E321" t="s">
        <v>26</v>
      </c>
      <c r="F321" t="s">
        <v>17</v>
      </c>
      <c r="G321" t="str">
        <f>"02"</f>
        <v>02</v>
      </c>
      <c r="H321" t="str">
        <f>"3  "</f>
        <v xml:space="preserve">3  </v>
      </c>
      <c r="I321" t="str">
        <f>"2019/04/05"</f>
        <v>2019/04/05</v>
      </c>
      <c r="J321" t="str">
        <f>"510"</f>
        <v>510</v>
      </c>
      <c r="K321" t="str">
        <f>"20220212"</f>
        <v>20220212</v>
      </c>
      <c r="L321" t="s">
        <v>18</v>
      </c>
      <c r="M321" t="str">
        <f>"20170817"</f>
        <v>20170817</v>
      </c>
    </row>
    <row r="322" spans="1:13" x14ac:dyDescent="0.25">
      <c r="A322" t="str">
        <f>"00082420"</f>
        <v>00082420</v>
      </c>
      <c r="B322" t="s">
        <v>543</v>
      </c>
      <c r="C322" t="s">
        <v>48</v>
      </c>
      <c r="D322" t="s">
        <v>25</v>
      </c>
      <c r="E322" t="s">
        <v>26</v>
      </c>
      <c r="F322" t="s">
        <v>17</v>
      </c>
      <c r="G322" t="str">
        <f>"02"</f>
        <v>02</v>
      </c>
      <c r="H322" t="str">
        <f>"7  "</f>
        <v xml:space="preserve">7  </v>
      </c>
      <c r="I322" t="str">
        <f>"2005/06/14"</f>
        <v>2005/06/14</v>
      </c>
      <c r="J322" t="str">
        <f>"503"</f>
        <v>503</v>
      </c>
      <c r="K322" t="s">
        <v>18</v>
      </c>
      <c r="L322" t="str">
        <f>"20040508"</f>
        <v>20040508</v>
      </c>
      <c r="M322" t="str">
        <f>"19791129"</f>
        <v>19791129</v>
      </c>
    </row>
    <row r="323" spans="1:13" x14ac:dyDescent="0.25">
      <c r="A323" t="str">
        <f>"00685878"</f>
        <v>00685878</v>
      </c>
      <c r="B323" t="s">
        <v>543</v>
      </c>
      <c r="C323" t="s">
        <v>398</v>
      </c>
      <c r="D323" t="s">
        <v>37</v>
      </c>
      <c r="E323" t="s">
        <v>16</v>
      </c>
      <c r="F323" t="s">
        <v>17</v>
      </c>
      <c r="G323" t="str">
        <f>"02"</f>
        <v>02</v>
      </c>
      <c r="H323" t="str">
        <f>"3  "</f>
        <v xml:space="preserve">3  </v>
      </c>
      <c r="I323" t="str">
        <f>"2017/01/03"</f>
        <v>2017/01/03</v>
      </c>
      <c r="J323" t="str">
        <f>"510"</f>
        <v>510</v>
      </c>
      <c r="K323" t="str">
        <f>"20220605"</f>
        <v>20220605</v>
      </c>
      <c r="L323" t="s">
        <v>18</v>
      </c>
      <c r="M323" t="str">
        <f>"20150526"</f>
        <v>20150526</v>
      </c>
    </row>
    <row r="324" spans="1:13" x14ac:dyDescent="0.25">
      <c r="A324" t="str">
        <f>"00491318"</f>
        <v>00491318</v>
      </c>
      <c r="B324" t="s">
        <v>543</v>
      </c>
      <c r="C324" t="s">
        <v>544</v>
      </c>
      <c r="D324" t="s">
        <v>61</v>
      </c>
      <c r="E324" t="s">
        <v>26</v>
      </c>
      <c r="F324" t="s">
        <v>17</v>
      </c>
      <c r="G324" t="str">
        <f>"02"</f>
        <v>02</v>
      </c>
      <c r="H324" t="str">
        <f>"3  "</f>
        <v xml:space="preserve">3  </v>
      </c>
      <c r="I324" t="str">
        <f>"2018/07/12"</f>
        <v>2018/07/12</v>
      </c>
      <c r="J324" t="str">
        <f>"510"</f>
        <v>510</v>
      </c>
      <c r="K324" t="str">
        <f>"20280116"</f>
        <v>20280116</v>
      </c>
      <c r="L324" t="s">
        <v>18</v>
      </c>
      <c r="M324" t="str">
        <f>"20140911"</f>
        <v>20140911</v>
      </c>
    </row>
    <row r="325" spans="1:13" x14ac:dyDescent="0.25">
      <c r="A325" t="str">
        <f>"00246545"</f>
        <v>00246545</v>
      </c>
      <c r="B325" t="s">
        <v>543</v>
      </c>
      <c r="C325" t="s">
        <v>545</v>
      </c>
      <c r="D325" t="s">
        <v>51</v>
      </c>
      <c r="E325" t="s">
        <v>26</v>
      </c>
      <c r="F325" t="s">
        <v>17</v>
      </c>
      <c r="G325" t="str">
        <f>"02"</f>
        <v>02</v>
      </c>
      <c r="H325" t="str">
        <f>"3  "</f>
        <v xml:space="preserve">3  </v>
      </c>
      <c r="I325" t="str">
        <f>"2018/08/30"</f>
        <v>2018/08/30</v>
      </c>
      <c r="J325" t="str">
        <f>"503"</f>
        <v>503</v>
      </c>
      <c r="K325" t="str">
        <f>"20201205"</f>
        <v>20201205</v>
      </c>
      <c r="L325" t="s">
        <v>18</v>
      </c>
      <c r="M325" t="str">
        <f>"20171128"</f>
        <v>20171128</v>
      </c>
    </row>
    <row r="326" spans="1:13" x14ac:dyDescent="0.25">
      <c r="A326" t="str">
        <f>"00637882"</f>
        <v>00637882</v>
      </c>
      <c r="B326" t="s">
        <v>546</v>
      </c>
      <c r="C326" t="s">
        <v>261</v>
      </c>
      <c r="D326" t="s">
        <v>25</v>
      </c>
      <c r="E326" t="s">
        <v>26</v>
      </c>
      <c r="F326" t="s">
        <v>17</v>
      </c>
      <c r="G326" t="str">
        <f>"02"</f>
        <v>02</v>
      </c>
      <c r="H326" t="str">
        <f>"3  "</f>
        <v xml:space="preserve">3  </v>
      </c>
      <c r="I326" t="str">
        <f>"2019/02/08"</f>
        <v>2019/02/08</v>
      </c>
      <c r="J326" t="str">
        <f>"510"</f>
        <v>510</v>
      </c>
      <c r="K326" t="str">
        <f>"20201207"</f>
        <v>20201207</v>
      </c>
      <c r="L326" t="s">
        <v>18</v>
      </c>
      <c r="M326" t="str">
        <f>"20141018"</f>
        <v>20141018</v>
      </c>
    </row>
    <row r="327" spans="1:13" x14ac:dyDescent="0.25">
      <c r="A327" t="str">
        <f>"00431848"</f>
        <v>00431848</v>
      </c>
      <c r="B327" t="s">
        <v>546</v>
      </c>
      <c r="C327" t="s">
        <v>547</v>
      </c>
      <c r="D327" t="s">
        <v>80</v>
      </c>
      <c r="E327" t="s">
        <v>26</v>
      </c>
      <c r="F327" t="s">
        <v>17</v>
      </c>
      <c r="G327" t="str">
        <f>"02"</f>
        <v>02</v>
      </c>
      <c r="H327" t="str">
        <f>"3  "</f>
        <v xml:space="preserve">3  </v>
      </c>
      <c r="I327" t="str">
        <f>"2012/12/12"</f>
        <v>2012/12/12</v>
      </c>
      <c r="J327" t="str">
        <f>"510"</f>
        <v>510</v>
      </c>
      <c r="K327" t="str">
        <f>"20230215"</f>
        <v>20230215</v>
      </c>
      <c r="L327" t="s">
        <v>18</v>
      </c>
      <c r="M327" t="str">
        <f>"20110618"</f>
        <v>20110618</v>
      </c>
    </row>
    <row r="328" spans="1:13" x14ac:dyDescent="0.25">
      <c r="A328" t="str">
        <f>"00248638"</f>
        <v>00248638</v>
      </c>
      <c r="B328" t="s">
        <v>553</v>
      </c>
      <c r="C328" t="s">
        <v>554</v>
      </c>
      <c r="D328" t="s">
        <v>15</v>
      </c>
      <c r="E328" t="s">
        <v>26</v>
      </c>
      <c r="F328" t="s">
        <v>17</v>
      </c>
      <c r="G328" t="str">
        <f>"02"</f>
        <v>02</v>
      </c>
      <c r="H328" t="str">
        <f>"3  "</f>
        <v xml:space="preserve">3  </v>
      </c>
      <c r="I328" t="str">
        <f>"2015/05/01"</f>
        <v>2015/05/01</v>
      </c>
      <c r="J328" t="str">
        <f>"510"</f>
        <v>510</v>
      </c>
      <c r="K328" t="str">
        <f>"20230812"</f>
        <v>20230812</v>
      </c>
      <c r="L328" t="s">
        <v>18</v>
      </c>
      <c r="M328" t="str">
        <f>"20140503"</f>
        <v>20140503</v>
      </c>
    </row>
    <row r="329" spans="1:13" x14ac:dyDescent="0.25">
      <c r="A329" t="str">
        <f>"00607377"</f>
        <v>00607377</v>
      </c>
      <c r="B329" t="s">
        <v>559</v>
      </c>
      <c r="C329" t="s">
        <v>560</v>
      </c>
      <c r="D329" t="s">
        <v>25</v>
      </c>
      <c r="E329" t="s">
        <v>26</v>
      </c>
      <c r="F329" t="s">
        <v>17</v>
      </c>
      <c r="G329" t="str">
        <f>"02"</f>
        <v>02</v>
      </c>
      <c r="H329" t="str">
        <f>"3  "</f>
        <v xml:space="preserve">3  </v>
      </c>
      <c r="I329" t="str">
        <f>"2018/03/05"</f>
        <v>2018/03/05</v>
      </c>
      <c r="J329" t="str">
        <f>"110"</f>
        <v>110</v>
      </c>
      <c r="K329" t="str">
        <f>"20231102"</f>
        <v>20231102</v>
      </c>
      <c r="L329" t="s">
        <v>18</v>
      </c>
      <c r="M329" t="str">
        <f>"20170808"</f>
        <v>20170808</v>
      </c>
    </row>
    <row r="330" spans="1:13" x14ac:dyDescent="0.25">
      <c r="A330" t="str">
        <f>"00377374"</f>
        <v>00377374</v>
      </c>
      <c r="B330" t="s">
        <v>562</v>
      </c>
      <c r="C330" t="s">
        <v>96</v>
      </c>
      <c r="D330" t="s">
        <v>45</v>
      </c>
      <c r="E330" t="s">
        <v>26</v>
      </c>
      <c r="F330" t="s">
        <v>17</v>
      </c>
      <c r="G330" t="str">
        <f>"02"</f>
        <v>02</v>
      </c>
      <c r="H330" t="str">
        <f>"3  "</f>
        <v xml:space="preserve">3  </v>
      </c>
      <c r="I330" t="str">
        <f>"2018/08/31"</f>
        <v>2018/08/31</v>
      </c>
      <c r="J330" t="str">
        <f>"510"</f>
        <v>510</v>
      </c>
      <c r="K330" t="str">
        <f>"20621102"</f>
        <v>20621102</v>
      </c>
      <c r="L330" t="s">
        <v>18</v>
      </c>
      <c r="M330" t="str">
        <f>"20170927"</f>
        <v>20170927</v>
      </c>
    </row>
    <row r="331" spans="1:13" x14ac:dyDescent="0.25">
      <c r="A331" t="str">
        <f>"00108064"</f>
        <v>00108064</v>
      </c>
      <c r="B331" t="s">
        <v>564</v>
      </c>
      <c r="C331" t="s">
        <v>248</v>
      </c>
      <c r="D331" t="s">
        <v>21</v>
      </c>
      <c r="E331" t="s">
        <v>16</v>
      </c>
      <c r="F331" t="s">
        <v>17</v>
      </c>
      <c r="G331" t="str">
        <f>"02"</f>
        <v>02</v>
      </c>
      <c r="H331" t="str">
        <f>"7  "</f>
        <v xml:space="preserve">7  </v>
      </c>
      <c r="I331" t="str">
        <f>"2001/10/19"</f>
        <v>2001/10/19</v>
      </c>
      <c r="J331" t="str">
        <f>"503"</f>
        <v>503</v>
      </c>
      <c r="K331" t="s">
        <v>18</v>
      </c>
      <c r="L331" t="s">
        <v>18</v>
      </c>
      <c r="M331" t="str">
        <f>"19991214"</f>
        <v>19991214</v>
      </c>
    </row>
    <row r="332" spans="1:13" x14ac:dyDescent="0.25">
      <c r="A332" t="str">
        <f>"00512450"</f>
        <v>00512450</v>
      </c>
      <c r="B332" t="s">
        <v>577</v>
      </c>
      <c r="C332" t="s">
        <v>579</v>
      </c>
      <c r="D332" t="s">
        <v>40</v>
      </c>
      <c r="E332" t="s">
        <v>26</v>
      </c>
      <c r="F332" t="s">
        <v>17</v>
      </c>
      <c r="G332" t="str">
        <f>"02"</f>
        <v>02</v>
      </c>
      <c r="H332" t="str">
        <f>"3  "</f>
        <v xml:space="preserve">3  </v>
      </c>
      <c r="I332" t="str">
        <f>"2019/02/22"</f>
        <v>2019/02/22</v>
      </c>
      <c r="J332" t="str">
        <f>"510"</f>
        <v>510</v>
      </c>
      <c r="K332" t="str">
        <f>"20400318"</f>
        <v>20400318</v>
      </c>
      <c r="L332" t="s">
        <v>18</v>
      </c>
      <c r="M332" t="str">
        <f>"20180209"</f>
        <v>20180209</v>
      </c>
    </row>
    <row r="333" spans="1:13" x14ac:dyDescent="0.25">
      <c r="A333" t="str">
        <f>"00330563"</f>
        <v>00330563</v>
      </c>
      <c r="B333" t="s">
        <v>587</v>
      </c>
      <c r="C333" t="s">
        <v>588</v>
      </c>
      <c r="D333" t="s">
        <v>45</v>
      </c>
      <c r="E333" t="s">
        <v>26</v>
      </c>
      <c r="F333" t="s">
        <v>17</v>
      </c>
      <c r="G333" t="str">
        <f>"02"</f>
        <v>02</v>
      </c>
      <c r="H333" t="str">
        <f>"7  "</f>
        <v xml:space="preserve">7  </v>
      </c>
      <c r="I333" t="str">
        <f>"2004/03/15"</f>
        <v>2004/03/15</v>
      </c>
      <c r="J333" t="str">
        <f>"110"</f>
        <v>110</v>
      </c>
      <c r="K333" t="s">
        <v>18</v>
      </c>
      <c r="L333" t="s">
        <v>18</v>
      </c>
      <c r="M333" t="str">
        <f>"20010713"</f>
        <v>20010713</v>
      </c>
    </row>
    <row r="334" spans="1:13" x14ac:dyDescent="0.25">
      <c r="A334" t="str">
        <f>"00553441"</f>
        <v>00553441</v>
      </c>
      <c r="B334" t="s">
        <v>589</v>
      </c>
      <c r="C334" t="s">
        <v>437</v>
      </c>
      <c r="D334" t="s">
        <v>73</v>
      </c>
      <c r="E334" t="s">
        <v>26</v>
      </c>
      <c r="F334" t="s">
        <v>17</v>
      </c>
      <c r="G334" t="str">
        <f>"02"</f>
        <v>02</v>
      </c>
      <c r="H334" t="str">
        <f>"3  "</f>
        <v xml:space="preserve">3  </v>
      </c>
      <c r="I334" t="str">
        <f>"2014/07/15"</f>
        <v>2014/07/15</v>
      </c>
      <c r="J334" t="str">
        <f>"510"</f>
        <v>510</v>
      </c>
      <c r="K334" t="str">
        <f>"20220824"</f>
        <v>20220824</v>
      </c>
      <c r="L334" t="s">
        <v>18</v>
      </c>
      <c r="M334" t="str">
        <f>"20121003"</f>
        <v>20121003</v>
      </c>
    </row>
    <row r="335" spans="1:13" x14ac:dyDescent="0.25">
      <c r="A335" t="str">
        <f>"00268666"</f>
        <v>00268666</v>
      </c>
      <c r="B335" t="s">
        <v>591</v>
      </c>
      <c r="C335" t="s">
        <v>592</v>
      </c>
      <c r="D335" t="s">
        <v>15</v>
      </c>
      <c r="E335" t="s">
        <v>26</v>
      </c>
      <c r="F335" t="s">
        <v>17</v>
      </c>
      <c r="G335" t="str">
        <f>"02"</f>
        <v>02</v>
      </c>
      <c r="H335" t="str">
        <f>"3  "</f>
        <v xml:space="preserve">3  </v>
      </c>
      <c r="I335" t="str">
        <f>"2019/05/22"</f>
        <v>2019/05/22</v>
      </c>
      <c r="J335" t="str">
        <f>"110"</f>
        <v>110</v>
      </c>
      <c r="K335" t="str">
        <f>"20200927"</f>
        <v>20200927</v>
      </c>
      <c r="L335" t="s">
        <v>18</v>
      </c>
      <c r="M335" t="str">
        <f>"20181127"</f>
        <v>20181127</v>
      </c>
    </row>
    <row r="336" spans="1:13" x14ac:dyDescent="0.25">
      <c r="A336" t="str">
        <f>"00579052"</f>
        <v>00579052</v>
      </c>
      <c r="B336" t="s">
        <v>593</v>
      </c>
      <c r="C336" t="s">
        <v>437</v>
      </c>
      <c r="D336" t="s">
        <v>25</v>
      </c>
      <c r="E336" t="s">
        <v>26</v>
      </c>
      <c r="F336" t="s">
        <v>17</v>
      </c>
      <c r="G336" t="str">
        <f>"02"</f>
        <v>02</v>
      </c>
      <c r="H336" t="str">
        <f>"3  "</f>
        <v xml:space="preserve">3  </v>
      </c>
      <c r="I336" t="str">
        <f>"2020/08/05"</f>
        <v>2020/08/05</v>
      </c>
      <c r="J336" t="str">
        <f>"533"</f>
        <v>533</v>
      </c>
      <c r="K336" t="str">
        <f>"20390621"</f>
        <v>20390621</v>
      </c>
      <c r="L336" t="s">
        <v>18</v>
      </c>
      <c r="M336" t="str">
        <f>"20061115"</f>
        <v>20061115</v>
      </c>
    </row>
    <row r="337" spans="1:13" x14ac:dyDescent="0.25">
      <c r="A337" t="str">
        <f>"00204793"</f>
        <v>00204793</v>
      </c>
      <c r="B337" t="s">
        <v>594</v>
      </c>
      <c r="C337" t="s">
        <v>74</v>
      </c>
      <c r="D337" t="s">
        <v>26</v>
      </c>
      <c r="E337" t="s">
        <v>26</v>
      </c>
      <c r="F337" t="s">
        <v>17</v>
      </c>
      <c r="G337" t="str">
        <f>"02"</f>
        <v>02</v>
      </c>
      <c r="H337" t="str">
        <f>"3  "</f>
        <v xml:space="preserve">3  </v>
      </c>
      <c r="I337" t="str">
        <f>"2001/02/20"</f>
        <v>2001/02/20</v>
      </c>
      <c r="J337" t="str">
        <f>"503"</f>
        <v>503</v>
      </c>
      <c r="K337" t="str">
        <f>"20210616"</f>
        <v>20210616</v>
      </c>
      <c r="L337" t="s">
        <v>18</v>
      </c>
      <c r="M337" t="str">
        <f>"19941220"</f>
        <v>19941220</v>
      </c>
    </row>
    <row r="338" spans="1:13" x14ac:dyDescent="0.25">
      <c r="A338" t="str">
        <f>"00740695"</f>
        <v>00740695</v>
      </c>
      <c r="B338" t="s">
        <v>596</v>
      </c>
      <c r="C338" t="s">
        <v>117</v>
      </c>
      <c r="D338" t="s">
        <v>47</v>
      </c>
      <c r="E338" t="s">
        <v>26</v>
      </c>
      <c r="F338" t="s">
        <v>17</v>
      </c>
      <c r="G338" t="str">
        <f>"02"</f>
        <v>02</v>
      </c>
      <c r="H338" t="str">
        <f>"3  "</f>
        <v xml:space="preserve">3  </v>
      </c>
      <c r="I338" t="str">
        <f>"2017/07/17"</f>
        <v>2017/07/17</v>
      </c>
      <c r="J338" t="str">
        <f>"510"</f>
        <v>510</v>
      </c>
      <c r="K338" t="str">
        <f>"20220904"</f>
        <v>20220904</v>
      </c>
      <c r="L338" t="s">
        <v>18</v>
      </c>
      <c r="M338" t="str">
        <f>"20160627"</f>
        <v>20160627</v>
      </c>
    </row>
    <row r="339" spans="1:13" x14ac:dyDescent="0.25">
      <c r="A339" t="str">
        <f>"00512928"</f>
        <v>00512928</v>
      </c>
      <c r="B339" t="s">
        <v>598</v>
      </c>
      <c r="C339" t="s">
        <v>246</v>
      </c>
      <c r="D339" t="s">
        <v>25</v>
      </c>
      <c r="E339" t="s">
        <v>26</v>
      </c>
      <c r="F339" t="s">
        <v>17</v>
      </c>
      <c r="G339" t="str">
        <f>"02"</f>
        <v>02</v>
      </c>
      <c r="H339" t="str">
        <f>"3  "</f>
        <v xml:space="preserve">3  </v>
      </c>
      <c r="I339" t="str">
        <f>"2016/07/07"</f>
        <v>2016/07/07</v>
      </c>
      <c r="J339" t="str">
        <f>"110"</f>
        <v>110</v>
      </c>
      <c r="K339" t="str">
        <f>"20220518"</f>
        <v>20220518</v>
      </c>
      <c r="L339" t="s">
        <v>18</v>
      </c>
      <c r="M339" t="str">
        <f>"20150121"</f>
        <v>20150121</v>
      </c>
    </row>
    <row r="340" spans="1:13" x14ac:dyDescent="0.25">
      <c r="A340" t="str">
        <f>"00362066"</f>
        <v>00362066</v>
      </c>
      <c r="B340" t="s">
        <v>598</v>
      </c>
      <c r="C340" t="s">
        <v>99</v>
      </c>
      <c r="D340" t="s">
        <v>21</v>
      </c>
      <c r="E340" t="s">
        <v>26</v>
      </c>
      <c r="F340" t="s">
        <v>17</v>
      </c>
      <c r="G340" t="str">
        <f>"02"</f>
        <v>02</v>
      </c>
      <c r="H340" t="str">
        <f>"3  "</f>
        <v xml:space="preserve">3  </v>
      </c>
      <c r="I340" t="str">
        <f>"2020/08/05"</f>
        <v>2020/08/05</v>
      </c>
      <c r="J340" t="str">
        <f>"503"</f>
        <v>503</v>
      </c>
      <c r="K340" t="str">
        <f>"20270524"</f>
        <v>20270524</v>
      </c>
      <c r="L340" t="s">
        <v>18</v>
      </c>
      <c r="M340" t="str">
        <f>"20150109"</f>
        <v>20150109</v>
      </c>
    </row>
    <row r="341" spans="1:13" x14ac:dyDescent="0.25">
      <c r="A341" t="str">
        <f>"00628339"</f>
        <v>00628339</v>
      </c>
      <c r="B341" t="s">
        <v>600</v>
      </c>
      <c r="C341" t="s">
        <v>308</v>
      </c>
      <c r="D341" t="s">
        <v>51</v>
      </c>
      <c r="E341" t="s">
        <v>26</v>
      </c>
      <c r="F341" t="s">
        <v>17</v>
      </c>
      <c r="G341" t="str">
        <f>"02"</f>
        <v>02</v>
      </c>
      <c r="H341" t="str">
        <f>"7  "</f>
        <v xml:space="preserve">7  </v>
      </c>
      <c r="I341" t="str">
        <f>"2017/07/31"</f>
        <v>2017/07/31</v>
      </c>
      <c r="J341" t="str">
        <f>"110"</f>
        <v>110</v>
      </c>
      <c r="K341" t="s">
        <v>18</v>
      </c>
      <c r="L341" t="s">
        <v>18</v>
      </c>
      <c r="M341" t="str">
        <f>"20150212"</f>
        <v>20150212</v>
      </c>
    </row>
    <row r="342" spans="1:13" x14ac:dyDescent="0.25">
      <c r="A342" t="str">
        <f>"00646546"</f>
        <v>00646546</v>
      </c>
      <c r="B342" t="s">
        <v>604</v>
      </c>
      <c r="C342" t="s">
        <v>72</v>
      </c>
      <c r="D342" t="s">
        <v>73</v>
      </c>
      <c r="E342" t="s">
        <v>26</v>
      </c>
      <c r="F342" t="s">
        <v>17</v>
      </c>
      <c r="G342" t="str">
        <f>"02"</f>
        <v>02</v>
      </c>
      <c r="H342" t="str">
        <f>"3  "</f>
        <v xml:space="preserve">3  </v>
      </c>
      <c r="I342" t="str">
        <f>"2014/12/12"</f>
        <v>2014/12/12</v>
      </c>
      <c r="J342" t="str">
        <f>"510"</f>
        <v>510</v>
      </c>
      <c r="K342" t="str">
        <f>"20210611"</f>
        <v>20210611</v>
      </c>
      <c r="L342" t="s">
        <v>18</v>
      </c>
      <c r="M342" t="str">
        <f>"20130601"</f>
        <v>20130601</v>
      </c>
    </row>
    <row r="343" spans="1:13" x14ac:dyDescent="0.25">
      <c r="A343" t="str">
        <f>"00667185"</f>
        <v>00667185</v>
      </c>
      <c r="B343" t="s">
        <v>615</v>
      </c>
      <c r="C343" t="s">
        <v>117</v>
      </c>
      <c r="D343" t="s">
        <v>40</v>
      </c>
      <c r="E343" t="s">
        <v>16</v>
      </c>
      <c r="F343" t="s">
        <v>17</v>
      </c>
      <c r="G343" t="str">
        <f>"02"</f>
        <v>02</v>
      </c>
      <c r="H343" t="str">
        <f>"3  "</f>
        <v xml:space="preserve">3  </v>
      </c>
      <c r="I343" t="str">
        <f>"2011/08/11"</f>
        <v>2011/08/11</v>
      </c>
      <c r="J343" t="str">
        <f>"510"</f>
        <v>510</v>
      </c>
      <c r="K343" t="str">
        <f>"20220603"</f>
        <v>20220603</v>
      </c>
      <c r="L343" t="s">
        <v>18</v>
      </c>
      <c r="M343" t="str">
        <f>"20110126"</f>
        <v>20110126</v>
      </c>
    </row>
    <row r="344" spans="1:13" x14ac:dyDescent="0.25">
      <c r="A344" t="str">
        <f>"00158449"</f>
        <v>00158449</v>
      </c>
      <c r="B344" t="s">
        <v>616</v>
      </c>
      <c r="C344" t="s">
        <v>333</v>
      </c>
      <c r="D344" t="s">
        <v>80</v>
      </c>
      <c r="E344" t="s">
        <v>26</v>
      </c>
      <c r="F344" t="s">
        <v>17</v>
      </c>
      <c r="G344" t="str">
        <f>"02"</f>
        <v>02</v>
      </c>
      <c r="H344" t="str">
        <f>"3  "</f>
        <v xml:space="preserve">3  </v>
      </c>
      <c r="I344" t="str">
        <f>"1998/06/01"</f>
        <v>1998/06/01</v>
      </c>
      <c r="J344" t="str">
        <f>"510"</f>
        <v>510</v>
      </c>
      <c r="K344" t="str">
        <f>"20540511"</f>
        <v>20540511</v>
      </c>
      <c r="L344" t="str">
        <f>"20500501"</f>
        <v>20500501</v>
      </c>
      <c r="M344" t="str">
        <f>"19961106"</f>
        <v>19961106</v>
      </c>
    </row>
    <row r="345" spans="1:13" x14ac:dyDescent="0.25">
      <c r="A345" t="str">
        <f>"00452138"</f>
        <v>00452138</v>
      </c>
      <c r="B345" t="s">
        <v>618</v>
      </c>
      <c r="C345" t="s">
        <v>437</v>
      </c>
      <c r="D345" t="s">
        <v>51</v>
      </c>
      <c r="E345" t="s">
        <v>26</v>
      </c>
      <c r="F345" t="s">
        <v>17</v>
      </c>
      <c r="G345" t="str">
        <f>"02"</f>
        <v>02</v>
      </c>
      <c r="H345" t="str">
        <f>"3  "</f>
        <v xml:space="preserve">3  </v>
      </c>
      <c r="I345" t="str">
        <f>"2014/04/15"</f>
        <v>2014/04/15</v>
      </c>
      <c r="J345" t="str">
        <f>"534"</f>
        <v>534</v>
      </c>
      <c r="K345" t="str">
        <f>"20280930"</f>
        <v>20280930</v>
      </c>
      <c r="L345" t="s">
        <v>18</v>
      </c>
      <c r="M345" t="str">
        <f>"20070112"</f>
        <v>20070112</v>
      </c>
    </row>
    <row r="346" spans="1:13" x14ac:dyDescent="0.25">
      <c r="A346" t="str">
        <f>"00333101"</f>
        <v>00333101</v>
      </c>
      <c r="B346" t="s">
        <v>619</v>
      </c>
      <c r="C346" t="s">
        <v>620</v>
      </c>
      <c r="D346" t="s">
        <v>51</v>
      </c>
      <c r="E346" t="s">
        <v>26</v>
      </c>
      <c r="F346" t="s">
        <v>17</v>
      </c>
      <c r="G346" t="str">
        <f>"02"</f>
        <v>02</v>
      </c>
      <c r="H346" t="str">
        <f>"3  "</f>
        <v xml:space="preserve">3  </v>
      </c>
      <c r="I346" t="str">
        <f>"2004/09/13"</f>
        <v>2004/09/13</v>
      </c>
      <c r="J346" t="str">
        <f>"510"</f>
        <v>510</v>
      </c>
      <c r="K346" t="str">
        <f>"20350813"</f>
        <v>20350813</v>
      </c>
      <c r="L346" t="s">
        <v>18</v>
      </c>
      <c r="M346" t="str">
        <f>"20030914"</f>
        <v>20030914</v>
      </c>
    </row>
    <row r="347" spans="1:13" x14ac:dyDescent="0.25">
      <c r="A347" t="str">
        <f>"00294095"</f>
        <v>00294095</v>
      </c>
      <c r="B347" t="s">
        <v>621</v>
      </c>
      <c r="C347" t="s">
        <v>308</v>
      </c>
      <c r="D347" t="s">
        <v>21</v>
      </c>
      <c r="E347" t="s">
        <v>16</v>
      </c>
      <c r="F347" t="s">
        <v>17</v>
      </c>
      <c r="G347" t="str">
        <f>"02"</f>
        <v>02</v>
      </c>
      <c r="H347" t="str">
        <f>"3  "</f>
        <v xml:space="preserve">3  </v>
      </c>
      <c r="I347" t="str">
        <f>"2013/08/05"</f>
        <v>2013/08/05</v>
      </c>
      <c r="J347" t="str">
        <f>"510"</f>
        <v>510</v>
      </c>
      <c r="K347" t="str">
        <f>"20230316"</f>
        <v>20230316</v>
      </c>
      <c r="L347" t="s">
        <v>18</v>
      </c>
      <c r="M347" t="str">
        <f>"20120612"</f>
        <v>20120612</v>
      </c>
    </row>
    <row r="348" spans="1:13" x14ac:dyDescent="0.25">
      <c r="A348" t="str">
        <f>"00250229"</f>
        <v>00250229</v>
      </c>
      <c r="B348" t="s">
        <v>622</v>
      </c>
      <c r="C348" t="s">
        <v>623</v>
      </c>
      <c r="D348" t="s">
        <v>77</v>
      </c>
      <c r="E348" t="s">
        <v>26</v>
      </c>
      <c r="F348" t="s">
        <v>17</v>
      </c>
      <c r="G348" t="str">
        <f>"02"</f>
        <v>02</v>
      </c>
      <c r="H348" t="str">
        <f>"7  "</f>
        <v xml:space="preserve">7  </v>
      </c>
      <c r="I348" t="str">
        <f>"2007/09/19"</f>
        <v>2007/09/19</v>
      </c>
      <c r="J348" t="str">
        <f>"510"</f>
        <v>510</v>
      </c>
      <c r="K348" t="s">
        <v>18</v>
      </c>
      <c r="L348" t="s">
        <v>18</v>
      </c>
      <c r="M348" t="str">
        <f>"20060519"</f>
        <v>20060519</v>
      </c>
    </row>
    <row r="349" spans="1:13" x14ac:dyDescent="0.25">
      <c r="A349" t="str">
        <f>"00377093"</f>
        <v>00377093</v>
      </c>
      <c r="B349" t="s">
        <v>622</v>
      </c>
      <c r="C349" t="s">
        <v>624</v>
      </c>
      <c r="D349" t="s">
        <v>15</v>
      </c>
      <c r="E349" t="s">
        <v>26</v>
      </c>
      <c r="F349" t="s">
        <v>17</v>
      </c>
      <c r="G349" t="str">
        <f>"02"</f>
        <v>02</v>
      </c>
      <c r="H349" t="str">
        <f>"3  "</f>
        <v xml:space="preserve">3  </v>
      </c>
      <c r="I349" t="str">
        <f>"2002/10/16"</f>
        <v>2002/10/16</v>
      </c>
      <c r="J349" t="str">
        <f>"510"</f>
        <v>510</v>
      </c>
      <c r="K349" t="str">
        <f>"20221029"</f>
        <v>20221029</v>
      </c>
      <c r="L349" t="s">
        <v>18</v>
      </c>
      <c r="M349" t="str">
        <f>"20010506"</f>
        <v>20010506</v>
      </c>
    </row>
    <row r="350" spans="1:13" x14ac:dyDescent="0.25">
      <c r="A350" t="str">
        <f>"00283155"</f>
        <v>00283155</v>
      </c>
      <c r="B350" t="s">
        <v>622</v>
      </c>
      <c r="C350" t="s">
        <v>625</v>
      </c>
      <c r="D350" t="s">
        <v>21</v>
      </c>
      <c r="E350" t="s">
        <v>26</v>
      </c>
      <c r="F350" t="s">
        <v>17</v>
      </c>
      <c r="G350" t="str">
        <f>"02"</f>
        <v>02</v>
      </c>
      <c r="H350" t="str">
        <f>"3  "</f>
        <v xml:space="preserve">3  </v>
      </c>
      <c r="I350" t="str">
        <f>"2015/04/07"</f>
        <v>2015/04/07</v>
      </c>
      <c r="J350" t="str">
        <f>"110"</f>
        <v>110</v>
      </c>
      <c r="K350" t="str">
        <f>"20341007"</f>
        <v>20341007</v>
      </c>
      <c r="L350" t="s">
        <v>18</v>
      </c>
      <c r="M350" t="str">
        <f>"20120612"</f>
        <v>20120612</v>
      </c>
    </row>
    <row r="351" spans="1:13" x14ac:dyDescent="0.25">
      <c r="A351" t="str">
        <f>"00259119"</f>
        <v>00259119</v>
      </c>
      <c r="B351" t="s">
        <v>622</v>
      </c>
      <c r="C351" t="s">
        <v>96</v>
      </c>
      <c r="D351" t="s">
        <v>15</v>
      </c>
      <c r="E351" t="s">
        <v>26</v>
      </c>
      <c r="F351" t="s">
        <v>17</v>
      </c>
      <c r="G351" t="str">
        <f>"02"</f>
        <v>02</v>
      </c>
      <c r="H351" t="str">
        <f>"3  "</f>
        <v xml:space="preserve">3  </v>
      </c>
      <c r="I351" t="str">
        <f>"2018/11/05"</f>
        <v>2018/11/05</v>
      </c>
      <c r="J351" t="str">
        <f>"510"</f>
        <v>510</v>
      </c>
      <c r="K351" t="str">
        <f>"20240327"</f>
        <v>20240327</v>
      </c>
      <c r="L351" t="s">
        <v>18</v>
      </c>
      <c r="M351" t="str">
        <f>"20171221"</f>
        <v>20171221</v>
      </c>
    </row>
    <row r="352" spans="1:13" x14ac:dyDescent="0.25">
      <c r="A352" t="str">
        <f>"00248813"</f>
        <v>00248813</v>
      </c>
      <c r="B352" t="s">
        <v>622</v>
      </c>
      <c r="C352" t="s">
        <v>74</v>
      </c>
      <c r="D352" t="s">
        <v>45</v>
      </c>
      <c r="E352" t="s">
        <v>26</v>
      </c>
      <c r="F352" t="s">
        <v>17</v>
      </c>
      <c r="G352" t="str">
        <f>"02"</f>
        <v>02</v>
      </c>
      <c r="H352" t="str">
        <f>"3  "</f>
        <v xml:space="preserve">3  </v>
      </c>
      <c r="I352" t="str">
        <f>"2020/07/21"</f>
        <v>2020/07/21</v>
      </c>
      <c r="J352" t="str">
        <f>"533"</f>
        <v>533</v>
      </c>
      <c r="K352" t="str">
        <f>"20250614"</f>
        <v>20250614</v>
      </c>
      <c r="L352" t="s">
        <v>18</v>
      </c>
      <c r="M352" t="str">
        <f>"20120614"</f>
        <v>20120614</v>
      </c>
    </row>
    <row r="353" spans="1:13" x14ac:dyDescent="0.25">
      <c r="A353" t="str">
        <f>"00294765"</f>
        <v>00294765</v>
      </c>
      <c r="B353" t="s">
        <v>622</v>
      </c>
      <c r="C353" t="s">
        <v>358</v>
      </c>
      <c r="D353" t="s">
        <v>91</v>
      </c>
      <c r="E353" t="s">
        <v>26</v>
      </c>
      <c r="F353" t="s">
        <v>17</v>
      </c>
      <c r="G353" t="str">
        <f>"02"</f>
        <v>02</v>
      </c>
      <c r="H353" t="str">
        <f>"3  "</f>
        <v xml:space="preserve">3  </v>
      </c>
      <c r="I353" t="str">
        <f>"2020/09/02"</f>
        <v>2020/09/02</v>
      </c>
      <c r="J353" t="str">
        <f>"533"</f>
        <v>533</v>
      </c>
      <c r="K353" t="str">
        <f>"21410114"</f>
        <v>21410114</v>
      </c>
      <c r="L353" t="s">
        <v>18</v>
      </c>
      <c r="M353" t="str">
        <f>"20060203"</f>
        <v>20060203</v>
      </c>
    </row>
    <row r="354" spans="1:13" x14ac:dyDescent="0.25">
      <c r="A354" t="str">
        <f>"00696466"</f>
        <v>00696466</v>
      </c>
      <c r="B354" t="s">
        <v>630</v>
      </c>
      <c r="C354" t="s">
        <v>74</v>
      </c>
      <c r="D354" t="s">
        <v>21</v>
      </c>
      <c r="E354" t="s">
        <v>26</v>
      </c>
      <c r="F354" t="s">
        <v>17</v>
      </c>
      <c r="G354" t="str">
        <f>"02"</f>
        <v>02</v>
      </c>
      <c r="H354" t="str">
        <f>"3  "</f>
        <v xml:space="preserve">3  </v>
      </c>
      <c r="I354" t="str">
        <f>"2016/12/02"</f>
        <v>2016/12/02</v>
      </c>
      <c r="J354" t="str">
        <f>"510"</f>
        <v>510</v>
      </c>
      <c r="K354" t="str">
        <f>"20430416"</f>
        <v>20430416</v>
      </c>
      <c r="L354" t="s">
        <v>18</v>
      </c>
      <c r="M354" t="str">
        <f>"20160323"</f>
        <v>20160323</v>
      </c>
    </row>
    <row r="355" spans="1:13" x14ac:dyDescent="0.25">
      <c r="A355" t="str">
        <f>"00166908"</f>
        <v>00166908</v>
      </c>
      <c r="B355" t="s">
        <v>632</v>
      </c>
      <c r="C355" t="s">
        <v>55</v>
      </c>
      <c r="D355" t="s">
        <v>45</v>
      </c>
      <c r="E355" t="s">
        <v>16</v>
      </c>
      <c r="F355" t="s">
        <v>17</v>
      </c>
      <c r="G355" t="str">
        <f>"02"</f>
        <v>02</v>
      </c>
      <c r="H355" t="str">
        <f>"7  "</f>
        <v xml:space="preserve">7  </v>
      </c>
      <c r="I355" t="str">
        <f>"2006/06/26"</f>
        <v>2006/06/26</v>
      </c>
      <c r="J355" t="str">
        <f>"503"</f>
        <v>503</v>
      </c>
      <c r="K355" t="s">
        <v>18</v>
      </c>
      <c r="L355" t="str">
        <f>"20170112"</f>
        <v>20170112</v>
      </c>
      <c r="M355" t="str">
        <f>"19831212"</f>
        <v>19831212</v>
      </c>
    </row>
    <row r="356" spans="1:13" x14ac:dyDescent="0.25">
      <c r="A356" t="str">
        <f>"00248592"</f>
        <v>00248592</v>
      </c>
      <c r="B356" t="s">
        <v>633</v>
      </c>
      <c r="C356" t="s">
        <v>125</v>
      </c>
      <c r="D356" t="s">
        <v>15</v>
      </c>
      <c r="E356" t="s">
        <v>26</v>
      </c>
      <c r="F356" t="s">
        <v>17</v>
      </c>
      <c r="G356" t="str">
        <f>"02"</f>
        <v>02</v>
      </c>
      <c r="H356" t="str">
        <f>"3  "</f>
        <v xml:space="preserve">3  </v>
      </c>
      <c r="I356" t="str">
        <f>"2001/01/31"</f>
        <v>2001/01/31</v>
      </c>
      <c r="J356" t="str">
        <f>"502"</f>
        <v>502</v>
      </c>
      <c r="K356" t="str">
        <f>"20280916"</f>
        <v>20280916</v>
      </c>
      <c r="L356" t="s">
        <v>18</v>
      </c>
      <c r="M356" t="str">
        <f>"19981023"</f>
        <v>19981023</v>
      </c>
    </row>
    <row r="357" spans="1:13" x14ac:dyDescent="0.25">
      <c r="A357" t="str">
        <f>"00784878"</f>
        <v>00784878</v>
      </c>
      <c r="B357" t="s">
        <v>634</v>
      </c>
      <c r="C357" t="s">
        <v>30</v>
      </c>
      <c r="D357" t="s">
        <v>40</v>
      </c>
      <c r="E357" t="s">
        <v>26</v>
      </c>
      <c r="F357" t="s">
        <v>17</v>
      </c>
      <c r="G357" t="str">
        <f>"02"</f>
        <v>02</v>
      </c>
      <c r="H357" t="str">
        <f>"3  "</f>
        <v xml:space="preserve">3  </v>
      </c>
      <c r="I357" t="str">
        <f>"2019/04/05"</f>
        <v>2019/04/05</v>
      </c>
      <c r="J357" t="str">
        <f>"503"</f>
        <v>503</v>
      </c>
      <c r="K357" t="str">
        <f>"20300520"</f>
        <v>20300520</v>
      </c>
      <c r="L357" t="s">
        <v>18</v>
      </c>
      <c r="M357" t="str">
        <f>"20170130"</f>
        <v>20170130</v>
      </c>
    </row>
    <row r="358" spans="1:13" x14ac:dyDescent="0.25">
      <c r="A358" t="str">
        <f>"00331003"</f>
        <v>00331003</v>
      </c>
      <c r="B358" t="s">
        <v>634</v>
      </c>
      <c r="C358" t="s">
        <v>115</v>
      </c>
      <c r="D358" t="s">
        <v>26</v>
      </c>
      <c r="E358" t="s">
        <v>26</v>
      </c>
      <c r="F358" t="s">
        <v>17</v>
      </c>
      <c r="G358" t="str">
        <f>"02"</f>
        <v>02</v>
      </c>
      <c r="H358" t="str">
        <f>"3  "</f>
        <v xml:space="preserve">3  </v>
      </c>
      <c r="I358" t="str">
        <f>"2006/08/25"</f>
        <v>2006/08/25</v>
      </c>
      <c r="J358" t="str">
        <f>"110"</f>
        <v>110</v>
      </c>
      <c r="K358" t="str">
        <f>"20660306"</f>
        <v>20660306</v>
      </c>
      <c r="L358" t="s">
        <v>18</v>
      </c>
      <c r="M358" t="str">
        <f>"20051130"</f>
        <v>20051130</v>
      </c>
    </row>
    <row r="359" spans="1:13" x14ac:dyDescent="0.25">
      <c r="A359" t="str">
        <f>"00286636"</f>
        <v>00286636</v>
      </c>
      <c r="B359" t="s">
        <v>634</v>
      </c>
      <c r="C359" t="s">
        <v>14</v>
      </c>
      <c r="D359" t="s">
        <v>51</v>
      </c>
      <c r="E359" t="s">
        <v>26</v>
      </c>
      <c r="F359" t="s">
        <v>17</v>
      </c>
      <c r="G359" t="str">
        <f>"02"</f>
        <v>02</v>
      </c>
      <c r="H359" t="str">
        <f>"3  "</f>
        <v xml:space="preserve">3  </v>
      </c>
      <c r="I359" t="str">
        <f>"2020/01/31"</f>
        <v>2020/01/31</v>
      </c>
      <c r="J359" t="str">
        <f>"533"</f>
        <v>533</v>
      </c>
      <c r="K359" t="str">
        <f>"20250918"</f>
        <v>20250918</v>
      </c>
      <c r="L359" t="s">
        <v>18</v>
      </c>
      <c r="M359" t="str">
        <f>"20091112"</f>
        <v>20091112</v>
      </c>
    </row>
    <row r="360" spans="1:13" x14ac:dyDescent="0.25">
      <c r="A360" t="str">
        <f>"00306847"</f>
        <v>00306847</v>
      </c>
      <c r="B360" t="s">
        <v>634</v>
      </c>
      <c r="C360" t="s">
        <v>635</v>
      </c>
      <c r="D360" t="s">
        <v>40</v>
      </c>
      <c r="E360" t="s">
        <v>26</v>
      </c>
      <c r="F360" t="s">
        <v>17</v>
      </c>
      <c r="G360" t="str">
        <f>"02"</f>
        <v>02</v>
      </c>
      <c r="H360" t="str">
        <f>"7  "</f>
        <v xml:space="preserve">7  </v>
      </c>
      <c r="I360" t="str">
        <f>"2013/10/31"</f>
        <v>2013/10/31</v>
      </c>
      <c r="J360" t="str">
        <f>"110"</f>
        <v>110</v>
      </c>
      <c r="K360" t="s">
        <v>18</v>
      </c>
      <c r="L360" t="s">
        <v>18</v>
      </c>
      <c r="M360" t="str">
        <f>"20130908"</f>
        <v>20130908</v>
      </c>
    </row>
    <row r="361" spans="1:13" x14ac:dyDescent="0.25">
      <c r="A361" t="str">
        <f>"00436062"</f>
        <v>00436062</v>
      </c>
      <c r="B361" t="s">
        <v>634</v>
      </c>
      <c r="C361" t="s">
        <v>135</v>
      </c>
      <c r="D361" t="s">
        <v>25</v>
      </c>
      <c r="E361" t="s">
        <v>26</v>
      </c>
      <c r="F361" t="s">
        <v>17</v>
      </c>
      <c r="G361" t="str">
        <f>"02"</f>
        <v>02</v>
      </c>
      <c r="H361" t="str">
        <f>"3  "</f>
        <v xml:space="preserve">3  </v>
      </c>
      <c r="I361" t="str">
        <f>"2019/03/22"</f>
        <v>2019/03/22</v>
      </c>
      <c r="J361" t="str">
        <f>"510"</f>
        <v>510</v>
      </c>
      <c r="K361" t="str">
        <f>"20271205"</f>
        <v>20271205</v>
      </c>
      <c r="L361" t="s">
        <v>18</v>
      </c>
      <c r="M361" t="str">
        <f>"20170306"</f>
        <v>20170306</v>
      </c>
    </row>
    <row r="362" spans="1:13" x14ac:dyDescent="0.25">
      <c r="A362" t="str">
        <f>"00347029"</f>
        <v>00347029</v>
      </c>
      <c r="B362" t="s">
        <v>634</v>
      </c>
      <c r="C362" t="s">
        <v>44</v>
      </c>
      <c r="D362" t="s">
        <v>97</v>
      </c>
      <c r="E362" t="s">
        <v>16</v>
      </c>
      <c r="F362" t="s">
        <v>17</v>
      </c>
      <c r="G362" t="str">
        <f>"02"</f>
        <v>02</v>
      </c>
      <c r="H362" t="str">
        <f>"3  "</f>
        <v xml:space="preserve">3  </v>
      </c>
      <c r="I362" t="str">
        <f>"2014/01/07"</f>
        <v>2014/01/07</v>
      </c>
      <c r="J362" t="str">
        <f>"510"</f>
        <v>510</v>
      </c>
      <c r="K362" t="str">
        <f>"20230630"</f>
        <v>20230630</v>
      </c>
      <c r="L362" t="s">
        <v>18</v>
      </c>
      <c r="M362" t="str">
        <f>"20121014"</f>
        <v>20121014</v>
      </c>
    </row>
    <row r="363" spans="1:13" x14ac:dyDescent="0.25">
      <c r="A363" t="str">
        <f>"00732602"</f>
        <v>00732602</v>
      </c>
      <c r="B363" t="s">
        <v>634</v>
      </c>
      <c r="C363" t="s">
        <v>140</v>
      </c>
      <c r="D363" t="s">
        <v>25</v>
      </c>
      <c r="E363" t="s">
        <v>26</v>
      </c>
      <c r="F363" t="s">
        <v>17</v>
      </c>
      <c r="G363" t="str">
        <f>"02"</f>
        <v>02</v>
      </c>
      <c r="H363" t="str">
        <f>"3  "</f>
        <v xml:space="preserve">3  </v>
      </c>
      <c r="I363" t="str">
        <f>"2015/01/21"</f>
        <v>2015/01/21</v>
      </c>
      <c r="J363" t="str">
        <f>"510"</f>
        <v>510</v>
      </c>
      <c r="K363" t="str">
        <f>"20221205"</f>
        <v>20221205</v>
      </c>
      <c r="L363" t="s">
        <v>18</v>
      </c>
      <c r="M363" t="str">
        <f>"20130131"</f>
        <v>20130131</v>
      </c>
    </row>
    <row r="364" spans="1:13" x14ac:dyDescent="0.25">
      <c r="A364" t="str">
        <f>"00318055"</f>
        <v>00318055</v>
      </c>
      <c r="B364" t="s">
        <v>634</v>
      </c>
      <c r="C364" t="s">
        <v>595</v>
      </c>
      <c r="D364" t="s">
        <v>51</v>
      </c>
      <c r="E364" t="s">
        <v>26</v>
      </c>
      <c r="F364" t="s">
        <v>17</v>
      </c>
      <c r="G364" t="str">
        <f>"02"</f>
        <v>02</v>
      </c>
      <c r="H364" t="str">
        <f>"3  "</f>
        <v xml:space="preserve">3  </v>
      </c>
      <c r="I364" t="str">
        <f>"2000/07/21"</f>
        <v>2000/07/21</v>
      </c>
      <c r="J364" t="str">
        <f>"510"</f>
        <v>510</v>
      </c>
      <c r="K364" t="str">
        <f>"20350812"</f>
        <v>20350812</v>
      </c>
      <c r="L364" t="s">
        <v>18</v>
      </c>
      <c r="M364" t="str">
        <f>"19980914"</f>
        <v>19980914</v>
      </c>
    </row>
    <row r="365" spans="1:13" x14ac:dyDescent="0.25">
      <c r="A365" t="str">
        <f>"00306808"</f>
        <v>00306808</v>
      </c>
      <c r="B365" t="s">
        <v>634</v>
      </c>
      <c r="C365" t="s">
        <v>329</v>
      </c>
      <c r="D365" t="s">
        <v>16</v>
      </c>
      <c r="E365" t="s">
        <v>16</v>
      </c>
      <c r="F365" t="s">
        <v>17</v>
      </c>
      <c r="G365" t="str">
        <f>"02"</f>
        <v>02</v>
      </c>
      <c r="H365" t="str">
        <f>"7  "</f>
        <v xml:space="preserve">7  </v>
      </c>
      <c r="I365" t="str">
        <f>"1998/10/07"</f>
        <v>1998/10/07</v>
      </c>
      <c r="J365" t="str">
        <f>"532"</f>
        <v>532</v>
      </c>
      <c r="K365" t="s">
        <v>18</v>
      </c>
      <c r="L365" t="s">
        <v>18</v>
      </c>
      <c r="M365" t="str">
        <f>"19930122"</f>
        <v>19930122</v>
      </c>
    </row>
    <row r="366" spans="1:13" x14ac:dyDescent="0.25">
      <c r="A366" t="str">
        <f>"00774874"</f>
        <v>00774874</v>
      </c>
      <c r="B366" t="s">
        <v>634</v>
      </c>
      <c r="C366" t="s">
        <v>642</v>
      </c>
      <c r="D366" t="s">
        <v>97</v>
      </c>
      <c r="E366" t="s">
        <v>26</v>
      </c>
      <c r="F366" t="s">
        <v>17</v>
      </c>
      <c r="G366" t="str">
        <f>"02"</f>
        <v>02</v>
      </c>
      <c r="H366" t="str">
        <f>"0  "</f>
        <v xml:space="preserve">0  </v>
      </c>
      <c r="I366" t="str">
        <f>"2020/09/05"</f>
        <v>2020/09/05</v>
      </c>
      <c r="J366" t="str">
        <f>"420"</f>
        <v>420</v>
      </c>
      <c r="K366" t="s">
        <v>18</v>
      </c>
      <c r="L366" t="s">
        <v>18</v>
      </c>
      <c r="M366" t="s">
        <v>18</v>
      </c>
    </row>
    <row r="367" spans="1:13" x14ac:dyDescent="0.25">
      <c r="A367" t="str">
        <f>"00425741"</f>
        <v>00425741</v>
      </c>
      <c r="B367" t="s">
        <v>634</v>
      </c>
      <c r="C367" t="s">
        <v>643</v>
      </c>
      <c r="D367" t="s">
        <v>25</v>
      </c>
      <c r="E367" t="s">
        <v>26</v>
      </c>
      <c r="F367" t="s">
        <v>17</v>
      </c>
      <c r="G367" t="str">
        <f>"02"</f>
        <v>02</v>
      </c>
      <c r="H367" t="str">
        <f>"3  "</f>
        <v xml:space="preserve">3  </v>
      </c>
      <c r="I367" t="str">
        <f>"2014/08/11"</f>
        <v>2014/08/11</v>
      </c>
      <c r="J367" t="str">
        <f>"510"</f>
        <v>510</v>
      </c>
      <c r="K367" t="str">
        <f>"20271121"</f>
        <v>20271121</v>
      </c>
      <c r="L367" t="str">
        <f>"20280216"</f>
        <v>20280216</v>
      </c>
      <c r="M367" t="str">
        <f>"20130809"</f>
        <v>20130809</v>
      </c>
    </row>
    <row r="368" spans="1:13" x14ac:dyDescent="0.25">
      <c r="A368" t="str">
        <f>"00437106"</f>
        <v>00437106</v>
      </c>
      <c r="B368" t="s">
        <v>634</v>
      </c>
      <c r="C368" t="s">
        <v>644</v>
      </c>
      <c r="D368" t="s">
        <v>40</v>
      </c>
      <c r="E368" t="s">
        <v>26</v>
      </c>
      <c r="F368" t="s">
        <v>17</v>
      </c>
      <c r="G368" t="str">
        <f>"02"</f>
        <v>02</v>
      </c>
      <c r="H368" t="str">
        <f>"3  "</f>
        <v xml:space="preserve">3  </v>
      </c>
      <c r="I368" t="str">
        <f>"2013/09/09"</f>
        <v>2013/09/09</v>
      </c>
      <c r="J368" t="str">
        <f>"510"</f>
        <v>510</v>
      </c>
      <c r="K368" t="str">
        <f>"20290708"</f>
        <v>20290708</v>
      </c>
      <c r="L368" t="s">
        <v>18</v>
      </c>
      <c r="M368" t="str">
        <f>"20120518"</f>
        <v>20120518</v>
      </c>
    </row>
    <row r="369" spans="1:13" x14ac:dyDescent="0.25">
      <c r="A369" t="str">
        <f>"00892673"</f>
        <v>00892673</v>
      </c>
      <c r="B369" t="s">
        <v>634</v>
      </c>
      <c r="C369" t="s">
        <v>327</v>
      </c>
      <c r="D369" t="s">
        <v>215</v>
      </c>
      <c r="E369" t="s">
        <v>26</v>
      </c>
      <c r="F369" t="s">
        <v>17</v>
      </c>
      <c r="G369" t="str">
        <f>"02"</f>
        <v>02</v>
      </c>
      <c r="H369" t="str">
        <f>"3  "</f>
        <v xml:space="preserve">3  </v>
      </c>
      <c r="I369" t="str">
        <f>"2019/06/10"</f>
        <v>2019/06/10</v>
      </c>
      <c r="J369" t="str">
        <f>"510"</f>
        <v>510</v>
      </c>
      <c r="K369" t="str">
        <f>"20250208"</f>
        <v>20250208</v>
      </c>
      <c r="L369" t="s">
        <v>18</v>
      </c>
      <c r="M369" t="str">
        <f>"20181018"</f>
        <v>20181018</v>
      </c>
    </row>
    <row r="370" spans="1:13" x14ac:dyDescent="0.25">
      <c r="A370" t="str">
        <f>"00680156"</f>
        <v>00680156</v>
      </c>
      <c r="B370" t="s">
        <v>634</v>
      </c>
      <c r="C370" t="s">
        <v>646</v>
      </c>
      <c r="D370" t="s">
        <v>25</v>
      </c>
      <c r="E370" t="s">
        <v>26</v>
      </c>
      <c r="F370" t="s">
        <v>17</v>
      </c>
      <c r="G370" t="str">
        <f>"02"</f>
        <v>02</v>
      </c>
      <c r="H370" t="str">
        <f>"3  "</f>
        <v xml:space="preserve">3  </v>
      </c>
      <c r="I370" t="str">
        <f>"2019/01/11"</f>
        <v>2019/01/11</v>
      </c>
      <c r="J370" t="str">
        <f>"503"</f>
        <v>503</v>
      </c>
      <c r="K370" t="str">
        <f>"20240625"</f>
        <v>20240625</v>
      </c>
      <c r="L370" t="s">
        <v>18</v>
      </c>
      <c r="M370" t="str">
        <f>"20180222"</f>
        <v>20180222</v>
      </c>
    </row>
    <row r="371" spans="1:13" x14ac:dyDescent="0.25">
      <c r="A371" t="str">
        <f>"00377842"</f>
        <v>00377842</v>
      </c>
      <c r="B371" t="s">
        <v>634</v>
      </c>
      <c r="C371" t="s">
        <v>626</v>
      </c>
      <c r="D371" t="s">
        <v>21</v>
      </c>
      <c r="E371" t="s">
        <v>26</v>
      </c>
      <c r="F371" t="s">
        <v>17</v>
      </c>
      <c r="G371" t="str">
        <f>"02"</f>
        <v>02</v>
      </c>
      <c r="H371" t="str">
        <f>"1  "</f>
        <v xml:space="preserve">1  </v>
      </c>
      <c r="I371" t="str">
        <f>"2020/09/18"</f>
        <v>2020/09/18</v>
      </c>
      <c r="J371" t="str">
        <f>"504"</f>
        <v>504</v>
      </c>
      <c r="K371" t="str">
        <f>"20201226"</f>
        <v>20201226</v>
      </c>
      <c r="L371" t="s">
        <v>18</v>
      </c>
      <c r="M371" t="str">
        <f>"20200720"</f>
        <v>20200720</v>
      </c>
    </row>
    <row r="372" spans="1:13" x14ac:dyDescent="0.25">
      <c r="A372" t="str">
        <f>"00347785"</f>
        <v>00347785</v>
      </c>
      <c r="B372" t="s">
        <v>634</v>
      </c>
      <c r="C372" t="s">
        <v>647</v>
      </c>
      <c r="D372" t="s">
        <v>53</v>
      </c>
      <c r="E372" t="s">
        <v>26</v>
      </c>
      <c r="F372" t="s">
        <v>17</v>
      </c>
      <c r="G372" t="str">
        <f>"02"</f>
        <v>02</v>
      </c>
      <c r="H372" t="str">
        <f>"3  "</f>
        <v xml:space="preserve">3  </v>
      </c>
      <c r="I372" t="str">
        <f>"2012/12/31"</f>
        <v>2012/12/31</v>
      </c>
      <c r="J372" t="str">
        <f>"510"</f>
        <v>510</v>
      </c>
      <c r="K372" t="str">
        <f>"20250707"</f>
        <v>20250707</v>
      </c>
      <c r="L372" t="s">
        <v>18</v>
      </c>
      <c r="M372" t="str">
        <f>"20111129"</f>
        <v>20111129</v>
      </c>
    </row>
    <row r="373" spans="1:13" x14ac:dyDescent="0.25">
      <c r="A373" t="str">
        <f>"00504309"</f>
        <v>00504309</v>
      </c>
      <c r="B373" t="s">
        <v>634</v>
      </c>
      <c r="C373" t="s">
        <v>248</v>
      </c>
      <c r="D373" t="s">
        <v>215</v>
      </c>
      <c r="E373" t="s">
        <v>26</v>
      </c>
      <c r="F373" t="s">
        <v>17</v>
      </c>
      <c r="G373" t="str">
        <f>"02"</f>
        <v>02</v>
      </c>
      <c r="H373" t="str">
        <f>"1  "</f>
        <v xml:space="preserve">1  </v>
      </c>
      <c r="I373" t="str">
        <f>"2020/09/18"</f>
        <v>2020/09/18</v>
      </c>
      <c r="J373" t="str">
        <f>"504"</f>
        <v>504</v>
      </c>
      <c r="K373" t="str">
        <f>"20210310"</f>
        <v>20210310</v>
      </c>
      <c r="L373" t="s">
        <v>18</v>
      </c>
      <c r="M373" t="str">
        <f>"20200712"</f>
        <v>20200712</v>
      </c>
    </row>
    <row r="374" spans="1:13" x14ac:dyDescent="0.25">
      <c r="A374" t="str">
        <f>"00315027"</f>
        <v>00315027</v>
      </c>
      <c r="B374" t="s">
        <v>634</v>
      </c>
      <c r="C374" t="s">
        <v>651</v>
      </c>
      <c r="D374" t="s">
        <v>25</v>
      </c>
      <c r="E374" t="s">
        <v>26</v>
      </c>
      <c r="F374" t="s">
        <v>17</v>
      </c>
      <c r="G374" t="str">
        <f>"02"</f>
        <v>02</v>
      </c>
      <c r="H374" t="str">
        <f>"7  "</f>
        <v xml:space="preserve">7  </v>
      </c>
      <c r="I374" t="str">
        <f>"2017/07/28"</f>
        <v>2017/07/28</v>
      </c>
      <c r="J374" t="str">
        <f>"510"</f>
        <v>510</v>
      </c>
      <c r="K374" t="s">
        <v>18</v>
      </c>
      <c r="L374" t="s">
        <v>18</v>
      </c>
      <c r="M374" t="str">
        <f>"20150807"</f>
        <v>20150807</v>
      </c>
    </row>
    <row r="375" spans="1:13" x14ac:dyDescent="0.25">
      <c r="A375" t="str">
        <f>"00213937"</f>
        <v>00213937</v>
      </c>
      <c r="B375" t="s">
        <v>634</v>
      </c>
      <c r="C375" t="s">
        <v>348</v>
      </c>
      <c r="D375" t="s">
        <v>25</v>
      </c>
      <c r="E375" t="s">
        <v>16</v>
      </c>
      <c r="F375" t="s">
        <v>17</v>
      </c>
      <c r="G375" t="str">
        <f>"02"</f>
        <v>02</v>
      </c>
      <c r="H375" t="str">
        <f>"3  "</f>
        <v xml:space="preserve">3  </v>
      </c>
      <c r="I375" t="str">
        <f>"2003/05/13"</f>
        <v>2003/05/13</v>
      </c>
      <c r="J375" t="str">
        <f>"510"</f>
        <v>510</v>
      </c>
      <c r="K375" t="str">
        <f>"20240815"</f>
        <v>20240815</v>
      </c>
      <c r="L375" t="s">
        <v>18</v>
      </c>
      <c r="M375" t="str">
        <f>"20010115"</f>
        <v>20010115</v>
      </c>
    </row>
    <row r="376" spans="1:13" x14ac:dyDescent="0.25">
      <c r="A376" t="str">
        <f>"00341129"</f>
        <v>00341129</v>
      </c>
      <c r="B376" t="s">
        <v>634</v>
      </c>
      <c r="C376" t="s">
        <v>74</v>
      </c>
      <c r="D376" t="s">
        <v>15</v>
      </c>
      <c r="E376" t="s">
        <v>26</v>
      </c>
      <c r="F376" t="s">
        <v>17</v>
      </c>
      <c r="G376" t="str">
        <f>"02"</f>
        <v>02</v>
      </c>
      <c r="H376" t="str">
        <f>"3  "</f>
        <v xml:space="preserve">3  </v>
      </c>
      <c r="I376" t="str">
        <f>"2008/02/29"</f>
        <v>2008/02/29</v>
      </c>
      <c r="J376" t="str">
        <f>"510"</f>
        <v>510</v>
      </c>
      <c r="K376" t="str">
        <f>"20700821"</f>
        <v>20700821</v>
      </c>
      <c r="L376" t="s">
        <v>18</v>
      </c>
      <c r="M376" t="str">
        <f>"20041211"</f>
        <v>20041211</v>
      </c>
    </row>
    <row r="377" spans="1:13" x14ac:dyDescent="0.25">
      <c r="A377" t="str">
        <f>"00219592"</f>
        <v>00219592</v>
      </c>
      <c r="B377" t="s">
        <v>634</v>
      </c>
      <c r="C377" t="s">
        <v>658</v>
      </c>
      <c r="D377" t="s">
        <v>51</v>
      </c>
      <c r="E377" t="s">
        <v>16</v>
      </c>
      <c r="F377" t="s">
        <v>17</v>
      </c>
      <c r="G377" t="str">
        <f>"02"</f>
        <v>02</v>
      </c>
      <c r="H377" t="str">
        <f>"3  "</f>
        <v xml:space="preserve">3  </v>
      </c>
      <c r="I377" t="str">
        <f>"2019/02/28"</f>
        <v>2019/02/28</v>
      </c>
      <c r="J377" t="str">
        <f>"510"</f>
        <v>510</v>
      </c>
      <c r="K377" t="str">
        <f>"20210624"</f>
        <v>20210624</v>
      </c>
      <c r="L377" t="s">
        <v>18</v>
      </c>
      <c r="M377" t="str">
        <f>"20161208"</f>
        <v>20161208</v>
      </c>
    </row>
    <row r="378" spans="1:13" x14ac:dyDescent="0.25">
      <c r="A378" t="str">
        <f>"00147549"</f>
        <v>00147549</v>
      </c>
      <c r="B378" t="s">
        <v>634</v>
      </c>
      <c r="C378" t="s">
        <v>442</v>
      </c>
      <c r="D378" t="s">
        <v>47</v>
      </c>
      <c r="E378" t="s">
        <v>26</v>
      </c>
      <c r="F378" t="s">
        <v>17</v>
      </c>
      <c r="G378" t="str">
        <f>"02"</f>
        <v>02</v>
      </c>
      <c r="H378" t="str">
        <f>"3  "</f>
        <v xml:space="preserve">3  </v>
      </c>
      <c r="I378" t="str">
        <f>"2000/11/02"</f>
        <v>2000/11/02</v>
      </c>
      <c r="J378" t="str">
        <f>"502"</f>
        <v>502</v>
      </c>
      <c r="K378" t="str">
        <f>"20220124"</f>
        <v>20220124</v>
      </c>
      <c r="L378" t="s">
        <v>18</v>
      </c>
      <c r="M378" t="str">
        <f>"20000110"</f>
        <v>20000110</v>
      </c>
    </row>
    <row r="379" spans="1:13" x14ac:dyDescent="0.25">
      <c r="A379" t="str">
        <f>"00434469"</f>
        <v>00434469</v>
      </c>
      <c r="B379" t="s">
        <v>634</v>
      </c>
      <c r="C379" t="s">
        <v>59</v>
      </c>
      <c r="D379" t="s">
        <v>25</v>
      </c>
      <c r="E379" t="s">
        <v>26</v>
      </c>
      <c r="F379" t="s">
        <v>17</v>
      </c>
      <c r="G379" t="str">
        <f>"02"</f>
        <v>02</v>
      </c>
      <c r="H379" t="str">
        <f>"3  "</f>
        <v xml:space="preserve">3  </v>
      </c>
      <c r="I379" t="str">
        <f>"2013/09/17"</f>
        <v>2013/09/17</v>
      </c>
      <c r="J379" t="str">
        <f>"510"</f>
        <v>510</v>
      </c>
      <c r="K379" t="str">
        <f>"20221118"</f>
        <v>20221118</v>
      </c>
      <c r="L379" t="s">
        <v>18</v>
      </c>
      <c r="M379" t="str">
        <f>"20120126"</f>
        <v>20120126</v>
      </c>
    </row>
    <row r="380" spans="1:13" x14ac:dyDescent="0.25">
      <c r="A380" t="str">
        <f>"00310676"</f>
        <v>00310676</v>
      </c>
      <c r="B380" t="s">
        <v>634</v>
      </c>
      <c r="C380" t="s">
        <v>465</v>
      </c>
      <c r="D380" t="s">
        <v>21</v>
      </c>
      <c r="E380" t="s">
        <v>26</v>
      </c>
      <c r="F380" t="s">
        <v>17</v>
      </c>
      <c r="G380" t="str">
        <f>"02"</f>
        <v>02</v>
      </c>
      <c r="H380" t="str">
        <f>"7  "</f>
        <v xml:space="preserve">7  </v>
      </c>
      <c r="I380" t="str">
        <f>"1998/09/17"</f>
        <v>1998/09/17</v>
      </c>
      <c r="J380" t="str">
        <f>"510"</f>
        <v>510</v>
      </c>
      <c r="K380" t="s">
        <v>18</v>
      </c>
      <c r="L380" t="s">
        <v>18</v>
      </c>
      <c r="M380" t="str">
        <f>"19970517"</f>
        <v>19970517</v>
      </c>
    </row>
    <row r="381" spans="1:13" x14ac:dyDescent="0.25">
      <c r="A381" t="str">
        <f>"00228827"</f>
        <v>00228827</v>
      </c>
      <c r="B381" t="s">
        <v>634</v>
      </c>
      <c r="C381" t="s">
        <v>664</v>
      </c>
      <c r="D381" t="s">
        <v>15</v>
      </c>
      <c r="E381" t="s">
        <v>26</v>
      </c>
      <c r="F381" t="s">
        <v>17</v>
      </c>
      <c r="G381" t="str">
        <f>"02"</f>
        <v>02</v>
      </c>
      <c r="H381" t="str">
        <f>"7  "</f>
        <v xml:space="preserve">7  </v>
      </c>
      <c r="I381" t="str">
        <f>"2004/06/23"</f>
        <v>2004/06/23</v>
      </c>
      <c r="J381" t="str">
        <f>"110"</f>
        <v>110</v>
      </c>
      <c r="K381" t="s">
        <v>18</v>
      </c>
      <c r="L381" t="s">
        <v>18</v>
      </c>
      <c r="M381" t="str">
        <f>"20020705"</f>
        <v>20020705</v>
      </c>
    </row>
    <row r="382" spans="1:13" x14ac:dyDescent="0.25">
      <c r="A382" t="str">
        <f>"00142314"</f>
        <v>00142314</v>
      </c>
      <c r="B382" t="s">
        <v>670</v>
      </c>
      <c r="C382" t="s">
        <v>671</v>
      </c>
      <c r="D382" t="s">
        <v>61</v>
      </c>
      <c r="E382" t="s">
        <v>26</v>
      </c>
      <c r="F382" t="s">
        <v>17</v>
      </c>
      <c r="G382" t="str">
        <f>"02"</f>
        <v>02</v>
      </c>
      <c r="H382" t="str">
        <f>"7  "</f>
        <v xml:space="preserve">7  </v>
      </c>
      <c r="I382" t="str">
        <f>"1992/02/11"</f>
        <v>1992/02/11</v>
      </c>
      <c r="J382" t="str">
        <f>"509"</f>
        <v>509</v>
      </c>
      <c r="K382" t="s">
        <v>18</v>
      </c>
      <c r="L382" t="s">
        <v>18</v>
      </c>
      <c r="M382" t="str">
        <f>"19760527"</f>
        <v>19760527</v>
      </c>
    </row>
    <row r="383" spans="1:13" x14ac:dyDescent="0.25">
      <c r="A383" t="str">
        <f>"00438151"</f>
        <v>00438151</v>
      </c>
      <c r="B383" t="s">
        <v>674</v>
      </c>
      <c r="C383" t="s">
        <v>675</v>
      </c>
      <c r="D383" t="s">
        <v>142</v>
      </c>
      <c r="E383" t="s">
        <v>26</v>
      </c>
      <c r="F383" t="s">
        <v>17</v>
      </c>
      <c r="G383" t="str">
        <f>"02"</f>
        <v>02</v>
      </c>
      <c r="H383" t="str">
        <f>"3  "</f>
        <v xml:space="preserve">3  </v>
      </c>
      <c r="I383" t="str">
        <f>"2009/02/09"</f>
        <v>2009/02/09</v>
      </c>
      <c r="J383" t="str">
        <f>"110"</f>
        <v>110</v>
      </c>
      <c r="K383" t="str">
        <f>"20480703"</f>
        <v>20480703</v>
      </c>
      <c r="L383" t="s">
        <v>18</v>
      </c>
      <c r="M383" t="str">
        <f>"20080528"</f>
        <v>20080528</v>
      </c>
    </row>
    <row r="384" spans="1:13" x14ac:dyDescent="0.25">
      <c r="A384" t="str">
        <f>"00412349"</f>
        <v>00412349</v>
      </c>
      <c r="B384" t="s">
        <v>686</v>
      </c>
      <c r="C384" t="s">
        <v>687</v>
      </c>
      <c r="D384" t="s">
        <v>53</v>
      </c>
      <c r="E384" t="s">
        <v>16</v>
      </c>
      <c r="F384" t="s">
        <v>17</v>
      </c>
      <c r="G384" t="str">
        <f>"02"</f>
        <v>02</v>
      </c>
      <c r="H384" t="str">
        <f>"3  "</f>
        <v xml:space="preserve">3  </v>
      </c>
      <c r="I384" t="str">
        <f>"2016/11/28"</f>
        <v>2016/11/28</v>
      </c>
      <c r="J384" t="str">
        <f>"510"</f>
        <v>510</v>
      </c>
      <c r="K384" t="str">
        <f>"20360718"</f>
        <v>20360718</v>
      </c>
      <c r="L384" t="s">
        <v>18</v>
      </c>
      <c r="M384" t="str">
        <f>"20140530"</f>
        <v>20140530</v>
      </c>
    </row>
    <row r="385" spans="1:13" x14ac:dyDescent="0.25">
      <c r="A385" t="str">
        <f>"00170040"</f>
        <v>00170040</v>
      </c>
      <c r="B385" t="s">
        <v>690</v>
      </c>
      <c r="C385" t="s">
        <v>655</v>
      </c>
      <c r="D385" t="s">
        <v>21</v>
      </c>
      <c r="E385" t="s">
        <v>26</v>
      </c>
      <c r="F385" t="s">
        <v>17</v>
      </c>
      <c r="G385" t="str">
        <f>"02"</f>
        <v>02</v>
      </c>
      <c r="H385" t="str">
        <f>"3  "</f>
        <v xml:space="preserve">3  </v>
      </c>
      <c r="I385" t="str">
        <f>"2018/08/28"</f>
        <v>2018/08/28</v>
      </c>
      <c r="J385" t="str">
        <f>"503"</f>
        <v>503</v>
      </c>
      <c r="K385" t="str">
        <f>"20400218"</f>
        <v>20400218</v>
      </c>
      <c r="L385" t="s">
        <v>18</v>
      </c>
      <c r="M385" t="str">
        <f>"20170629"</f>
        <v>20170629</v>
      </c>
    </row>
    <row r="386" spans="1:13" x14ac:dyDescent="0.25">
      <c r="A386" t="str">
        <f>"00776708"</f>
        <v>00776708</v>
      </c>
      <c r="B386" t="s">
        <v>694</v>
      </c>
      <c r="C386" t="s">
        <v>72</v>
      </c>
      <c r="D386" t="s">
        <v>40</v>
      </c>
      <c r="E386" t="s">
        <v>16</v>
      </c>
      <c r="F386" t="s">
        <v>17</v>
      </c>
      <c r="G386" t="str">
        <f>"02"</f>
        <v>02</v>
      </c>
      <c r="H386" t="str">
        <f>"3  "</f>
        <v xml:space="preserve">3  </v>
      </c>
      <c r="I386" t="str">
        <f>"2016/12/12"</f>
        <v>2016/12/12</v>
      </c>
      <c r="J386" t="str">
        <f>"510"</f>
        <v>510</v>
      </c>
      <c r="K386" t="str">
        <f>"20211024"</f>
        <v>20211024</v>
      </c>
      <c r="L386" t="s">
        <v>18</v>
      </c>
      <c r="M386" t="str">
        <f>"20141009"</f>
        <v>20141009</v>
      </c>
    </row>
    <row r="387" spans="1:13" x14ac:dyDescent="0.25">
      <c r="A387" t="str">
        <f>"00167699"</f>
        <v>00167699</v>
      </c>
      <c r="B387" t="s">
        <v>695</v>
      </c>
      <c r="C387" t="s">
        <v>62</v>
      </c>
      <c r="D387" t="s">
        <v>45</v>
      </c>
      <c r="E387" t="s">
        <v>26</v>
      </c>
      <c r="F387" t="s">
        <v>17</v>
      </c>
      <c r="G387" t="str">
        <f>"02"</f>
        <v>02</v>
      </c>
      <c r="H387" t="str">
        <f>"3  "</f>
        <v xml:space="preserve">3  </v>
      </c>
      <c r="I387" t="str">
        <f>"2020/07/21"</f>
        <v>2020/07/21</v>
      </c>
      <c r="J387" t="str">
        <f>"533"</f>
        <v>533</v>
      </c>
      <c r="K387" t="str">
        <f>"20251218"</f>
        <v>20251218</v>
      </c>
      <c r="L387" t="s">
        <v>18</v>
      </c>
      <c r="M387" t="str">
        <f>"20030303"</f>
        <v>20030303</v>
      </c>
    </row>
    <row r="388" spans="1:13" x14ac:dyDescent="0.25">
      <c r="A388" t="str">
        <f>"00505267"</f>
        <v>00505267</v>
      </c>
      <c r="B388" t="s">
        <v>699</v>
      </c>
      <c r="C388" t="s">
        <v>154</v>
      </c>
      <c r="D388" t="s">
        <v>51</v>
      </c>
      <c r="E388" t="s">
        <v>26</v>
      </c>
      <c r="F388" t="s">
        <v>17</v>
      </c>
      <c r="G388" t="str">
        <f>"02"</f>
        <v>02</v>
      </c>
      <c r="H388" t="str">
        <f>"3  "</f>
        <v xml:space="preserve">3  </v>
      </c>
      <c r="I388" t="str">
        <f>"2013/07/19"</f>
        <v>2013/07/19</v>
      </c>
      <c r="J388" t="str">
        <f>"110"</f>
        <v>110</v>
      </c>
      <c r="K388" t="str">
        <f>"20210831"</f>
        <v>20210831</v>
      </c>
      <c r="L388" t="s">
        <v>18</v>
      </c>
      <c r="M388" t="str">
        <f>"20130424"</f>
        <v>20130424</v>
      </c>
    </row>
    <row r="389" spans="1:13" x14ac:dyDescent="0.25">
      <c r="A389" t="str">
        <f>"00756887"</f>
        <v>00756887</v>
      </c>
      <c r="B389" t="s">
        <v>708</v>
      </c>
      <c r="C389" t="s">
        <v>124</v>
      </c>
      <c r="D389" t="s">
        <v>40</v>
      </c>
      <c r="E389" t="s">
        <v>16</v>
      </c>
      <c r="F389" t="s">
        <v>17</v>
      </c>
      <c r="G389" t="str">
        <f>"02"</f>
        <v>02</v>
      </c>
      <c r="H389" t="str">
        <f>"3  "</f>
        <v xml:space="preserve">3  </v>
      </c>
      <c r="I389" t="str">
        <f>"2014/03/26"</f>
        <v>2014/03/26</v>
      </c>
      <c r="J389" t="str">
        <f>"110"</f>
        <v>110</v>
      </c>
      <c r="K389" t="str">
        <f>"20211112"</f>
        <v>20211112</v>
      </c>
      <c r="L389" t="s">
        <v>18</v>
      </c>
      <c r="M389" t="str">
        <f>"20131113"</f>
        <v>20131113</v>
      </c>
    </row>
    <row r="390" spans="1:13" x14ac:dyDescent="0.25">
      <c r="A390" t="str">
        <f>"00360590"</f>
        <v>00360590</v>
      </c>
      <c r="B390" t="s">
        <v>712</v>
      </c>
      <c r="C390" t="s">
        <v>269</v>
      </c>
      <c r="D390" t="s">
        <v>51</v>
      </c>
      <c r="E390" t="s">
        <v>16</v>
      </c>
      <c r="F390" t="s">
        <v>17</v>
      </c>
      <c r="G390" t="str">
        <f>"02"</f>
        <v>02</v>
      </c>
      <c r="H390" t="str">
        <f>"3  "</f>
        <v xml:space="preserve">3  </v>
      </c>
      <c r="I390" t="str">
        <f>"2019/05/30"</f>
        <v>2019/05/30</v>
      </c>
      <c r="J390" t="str">
        <f>"533"</f>
        <v>533</v>
      </c>
      <c r="K390" t="str">
        <f>"20301031"</f>
        <v>20301031</v>
      </c>
      <c r="L390" t="s">
        <v>18</v>
      </c>
      <c r="M390" t="str">
        <f>"19980520"</f>
        <v>19980520</v>
      </c>
    </row>
    <row r="391" spans="1:13" x14ac:dyDescent="0.25">
      <c r="A391" t="str">
        <f>"00398975"</f>
        <v>00398975</v>
      </c>
      <c r="B391" t="s">
        <v>713</v>
      </c>
      <c r="C391" t="s">
        <v>72</v>
      </c>
      <c r="D391" t="s">
        <v>45</v>
      </c>
      <c r="E391" t="s">
        <v>16</v>
      </c>
      <c r="F391" t="s">
        <v>17</v>
      </c>
      <c r="G391" t="str">
        <f>"02"</f>
        <v>02</v>
      </c>
      <c r="H391" t="str">
        <f>"3  "</f>
        <v xml:space="preserve">3  </v>
      </c>
      <c r="I391" t="str">
        <f>"2018/07/18"</f>
        <v>2018/07/18</v>
      </c>
      <c r="J391" t="str">
        <f>"110"</f>
        <v>110</v>
      </c>
      <c r="K391" t="str">
        <f>"20220802"</f>
        <v>20220802</v>
      </c>
      <c r="L391" t="s">
        <v>18</v>
      </c>
      <c r="M391" t="str">
        <f>"20180123"</f>
        <v>20180123</v>
      </c>
    </row>
    <row r="392" spans="1:13" x14ac:dyDescent="0.25">
      <c r="A392" t="str">
        <f>"00277204"</f>
        <v>00277204</v>
      </c>
      <c r="B392" t="s">
        <v>713</v>
      </c>
      <c r="C392" t="s">
        <v>169</v>
      </c>
      <c r="D392" t="s">
        <v>91</v>
      </c>
      <c r="E392" t="s">
        <v>16</v>
      </c>
      <c r="F392" t="s">
        <v>17</v>
      </c>
      <c r="G392" t="str">
        <f>"02"</f>
        <v>02</v>
      </c>
      <c r="H392" t="str">
        <f>"3  "</f>
        <v xml:space="preserve">3  </v>
      </c>
      <c r="I392" t="str">
        <f>"1999/06/03"</f>
        <v>1999/06/03</v>
      </c>
      <c r="J392" t="str">
        <f>"114"</f>
        <v>114</v>
      </c>
      <c r="K392" t="str">
        <f>"20280530"</f>
        <v>20280530</v>
      </c>
      <c r="L392" t="s">
        <v>18</v>
      </c>
      <c r="M392" t="str">
        <f>"19990603"</f>
        <v>19990603</v>
      </c>
    </row>
    <row r="393" spans="1:13" x14ac:dyDescent="0.25">
      <c r="A393" t="str">
        <f>"00312094"</f>
        <v>00312094</v>
      </c>
      <c r="B393" t="s">
        <v>716</v>
      </c>
      <c r="C393" t="s">
        <v>251</v>
      </c>
      <c r="D393" t="s">
        <v>31</v>
      </c>
      <c r="E393" t="s">
        <v>26</v>
      </c>
      <c r="F393" t="s">
        <v>17</v>
      </c>
      <c r="G393" t="str">
        <f>"02"</f>
        <v>02</v>
      </c>
      <c r="H393" t="str">
        <f>"7  "</f>
        <v xml:space="preserve">7  </v>
      </c>
      <c r="I393" t="str">
        <f>"2009/06/02"</f>
        <v>2009/06/02</v>
      </c>
      <c r="J393" t="str">
        <f>"110"</f>
        <v>110</v>
      </c>
      <c r="K393" t="s">
        <v>18</v>
      </c>
      <c r="L393" t="s">
        <v>18</v>
      </c>
      <c r="M393" t="str">
        <f>"20090602"</f>
        <v>20090602</v>
      </c>
    </row>
    <row r="394" spans="1:13" x14ac:dyDescent="0.25">
      <c r="A394" t="str">
        <f>"00797330"</f>
        <v>00797330</v>
      </c>
      <c r="B394" t="s">
        <v>717</v>
      </c>
      <c r="C394" t="s">
        <v>169</v>
      </c>
      <c r="D394" t="s">
        <v>15</v>
      </c>
      <c r="E394" t="s">
        <v>16</v>
      </c>
      <c r="F394" t="s">
        <v>17</v>
      </c>
      <c r="G394" t="str">
        <f>"02"</f>
        <v>02</v>
      </c>
      <c r="H394" t="str">
        <f>"3  "</f>
        <v xml:space="preserve">3  </v>
      </c>
      <c r="I394" t="str">
        <f>"2016/12/01"</f>
        <v>2016/12/01</v>
      </c>
      <c r="J394" t="str">
        <f>"510"</f>
        <v>510</v>
      </c>
      <c r="K394" t="str">
        <f>"20281107"</f>
        <v>20281107</v>
      </c>
      <c r="L394" t="s">
        <v>18</v>
      </c>
      <c r="M394" t="str">
        <f>"20150712"</f>
        <v>20150712</v>
      </c>
    </row>
    <row r="395" spans="1:13" x14ac:dyDescent="0.25">
      <c r="A395" t="str">
        <f>"00314978"</f>
        <v>00314978</v>
      </c>
      <c r="B395" t="s">
        <v>718</v>
      </c>
      <c r="C395" t="s">
        <v>719</v>
      </c>
      <c r="D395" t="s">
        <v>51</v>
      </c>
      <c r="E395" t="s">
        <v>26</v>
      </c>
      <c r="F395" t="s">
        <v>17</v>
      </c>
      <c r="G395" t="str">
        <f>"02"</f>
        <v>02</v>
      </c>
      <c r="H395" t="str">
        <f>"3  "</f>
        <v xml:space="preserve">3  </v>
      </c>
      <c r="I395" t="str">
        <f>"2020/09/17"</f>
        <v>2020/09/17</v>
      </c>
      <c r="J395" t="str">
        <f>"504"</f>
        <v>504</v>
      </c>
      <c r="K395" t="str">
        <f>"20201229"</f>
        <v>20201229</v>
      </c>
      <c r="L395" t="s">
        <v>18</v>
      </c>
      <c r="M395" t="str">
        <f>"20180702"</f>
        <v>20180702</v>
      </c>
    </row>
    <row r="396" spans="1:13" x14ac:dyDescent="0.25">
      <c r="A396" t="str">
        <f>"00208522"</f>
        <v>00208522</v>
      </c>
      <c r="B396" t="s">
        <v>720</v>
      </c>
      <c r="C396" t="s">
        <v>251</v>
      </c>
      <c r="D396" t="s">
        <v>53</v>
      </c>
      <c r="E396" t="s">
        <v>26</v>
      </c>
      <c r="F396" t="s">
        <v>17</v>
      </c>
      <c r="G396" t="str">
        <f>"02"</f>
        <v>02</v>
      </c>
      <c r="H396" t="str">
        <f>"7  "</f>
        <v xml:space="preserve">7  </v>
      </c>
      <c r="I396" t="str">
        <f>"2005/11/15"</f>
        <v>2005/11/15</v>
      </c>
      <c r="J396" t="str">
        <f>"110"</f>
        <v>110</v>
      </c>
      <c r="K396" t="s">
        <v>18</v>
      </c>
      <c r="L396" t="s">
        <v>18</v>
      </c>
      <c r="M396" t="str">
        <f>"20041004"</f>
        <v>20041004</v>
      </c>
    </row>
    <row r="397" spans="1:13" x14ac:dyDescent="0.25">
      <c r="A397" t="str">
        <f>"00458905"</f>
        <v>00458905</v>
      </c>
      <c r="B397" t="s">
        <v>720</v>
      </c>
      <c r="C397" t="s">
        <v>348</v>
      </c>
      <c r="D397" t="s">
        <v>215</v>
      </c>
      <c r="E397" t="s">
        <v>16</v>
      </c>
      <c r="F397" t="s">
        <v>17</v>
      </c>
      <c r="G397" t="str">
        <f>"02"</f>
        <v>02</v>
      </c>
      <c r="H397" t="str">
        <f>"3  "</f>
        <v xml:space="preserve">3  </v>
      </c>
      <c r="I397" t="str">
        <f>"2017/05/16"</f>
        <v>2017/05/16</v>
      </c>
      <c r="J397" t="str">
        <f>"503"</f>
        <v>503</v>
      </c>
      <c r="K397" t="str">
        <f>"20620120"</f>
        <v>20620120</v>
      </c>
      <c r="L397" t="s">
        <v>18</v>
      </c>
      <c r="M397" t="str">
        <f>"20120705"</f>
        <v>20120705</v>
      </c>
    </row>
    <row r="398" spans="1:13" x14ac:dyDescent="0.25">
      <c r="A398" t="str">
        <f>"00537462"</f>
        <v>00537462</v>
      </c>
      <c r="B398" t="s">
        <v>720</v>
      </c>
      <c r="C398" t="s">
        <v>723</v>
      </c>
      <c r="D398" t="s">
        <v>25</v>
      </c>
      <c r="E398" t="s">
        <v>26</v>
      </c>
      <c r="F398" t="s">
        <v>17</v>
      </c>
      <c r="G398" t="str">
        <f>"02"</f>
        <v>02</v>
      </c>
      <c r="H398" t="str">
        <f>"3  "</f>
        <v xml:space="preserve">3  </v>
      </c>
      <c r="I398" t="str">
        <f>"2016/01/08"</f>
        <v>2016/01/08</v>
      </c>
      <c r="J398" t="str">
        <f>"503"</f>
        <v>503</v>
      </c>
      <c r="K398" t="str">
        <f>"20250526"</f>
        <v>20250526</v>
      </c>
      <c r="L398" t="s">
        <v>18</v>
      </c>
      <c r="M398" t="str">
        <f>"20140906"</f>
        <v>20140906</v>
      </c>
    </row>
    <row r="399" spans="1:13" x14ac:dyDescent="0.25">
      <c r="A399" t="str">
        <f>"00124982"</f>
        <v>00124982</v>
      </c>
      <c r="B399" t="s">
        <v>720</v>
      </c>
      <c r="C399" t="s">
        <v>169</v>
      </c>
      <c r="D399" t="s">
        <v>21</v>
      </c>
      <c r="E399" t="s">
        <v>26</v>
      </c>
      <c r="F399" t="s">
        <v>17</v>
      </c>
      <c r="G399" t="str">
        <f>"02"</f>
        <v>02</v>
      </c>
      <c r="H399" t="str">
        <f>"7  "</f>
        <v xml:space="preserve">7  </v>
      </c>
      <c r="I399" t="str">
        <f>"2014/06/18"</f>
        <v>2014/06/18</v>
      </c>
      <c r="J399" t="str">
        <f>"510"</f>
        <v>510</v>
      </c>
      <c r="K399" t="s">
        <v>18</v>
      </c>
      <c r="L399" t="s">
        <v>18</v>
      </c>
      <c r="M399" t="str">
        <f>"20130131"</f>
        <v>20130131</v>
      </c>
    </row>
    <row r="400" spans="1:13" x14ac:dyDescent="0.25">
      <c r="A400" t="str">
        <f>"00731097"</f>
        <v>00731097</v>
      </c>
      <c r="B400" t="s">
        <v>732</v>
      </c>
      <c r="C400" t="s">
        <v>62</v>
      </c>
      <c r="D400" t="s">
        <v>25</v>
      </c>
      <c r="E400" t="s">
        <v>26</v>
      </c>
      <c r="F400" t="s">
        <v>17</v>
      </c>
      <c r="G400" t="str">
        <f>"02"</f>
        <v>02</v>
      </c>
      <c r="H400" t="str">
        <f>"3  "</f>
        <v xml:space="preserve">3  </v>
      </c>
      <c r="I400" t="str">
        <f>"2018/09/05"</f>
        <v>2018/09/05</v>
      </c>
      <c r="J400" t="str">
        <f>"503"</f>
        <v>503</v>
      </c>
      <c r="K400" t="str">
        <f>"20250329"</f>
        <v>20250329</v>
      </c>
      <c r="L400" t="s">
        <v>18</v>
      </c>
      <c r="M400" t="str">
        <f>"20150321"</f>
        <v>20150321</v>
      </c>
    </row>
    <row r="401" spans="1:13" x14ac:dyDescent="0.25">
      <c r="A401" t="str">
        <f>"00627829"</f>
        <v>00627829</v>
      </c>
      <c r="B401" t="s">
        <v>736</v>
      </c>
      <c r="C401" t="s">
        <v>251</v>
      </c>
      <c r="D401" t="s">
        <v>51</v>
      </c>
      <c r="E401" t="s">
        <v>26</v>
      </c>
      <c r="F401" t="s">
        <v>17</v>
      </c>
      <c r="G401" t="str">
        <f>"02"</f>
        <v>02</v>
      </c>
      <c r="H401" t="str">
        <f>"3  "</f>
        <v xml:space="preserve">3  </v>
      </c>
      <c r="I401" t="str">
        <f>"2019/08/02"</f>
        <v>2019/08/02</v>
      </c>
      <c r="J401" t="str">
        <f>"510"</f>
        <v>510</v>
      </c>
      <c r="K401" t="str">
        <f>"20211125"</f>
        <v>20211125</v>
      </c>
      <c r="L401" t="s">
        <v>18</v>
      </c>
      <c r="M401" t="str">
        <f>"20180920"</f>
        <v>20180920</v>
      </c>
    </row>
    <row r="402" spans="1:13" x14ac:dyDescent="0.25">
      <c r="A402" t="str">
        <f>"00870577"</f>
        <v>00870577</v>
      </c>
      <c r="B402" t="s">
        <v>736</v>
      </c>
      <c r="C402" t="s">
        <v>59</v>
      </c>
      <c r="D402" t="s">
        <v>456</v>
      </c>
      <c r="E402" t="s">
        <v>26</v>
      </c>
      <c r="F402" t="s">
        <v>17</v>
      </c>
      <c r="G402" t="str">
        <f>"02"</f>
        <v>02</v>
      </c>
      <c r="H402" t="str">
        <f>"3  "</f>
        <v xml:space="preserve">3  </v>
      </c>
      <c r="I402" t="str">
        <f>"2019/10/08"</f>
        <v>2019/10/08</v>
      </c>
      <c r="J402" t="str">
        <f>"534"</f>
        <v>534</v>
      </c>
      <c r="K402" t="str">
        <f>"20250719"</f>
        <v>20250719</v>
      </c>
      <c r="L402" t="s">
        <v>18</v>
      </c>
      <c r="M402" t="str">
        <f>"20180423"</f>
        <v>20180423</v>
      </c>
    </row>
    <row r="403" spans="1:13" x14ac:dyDescent="0.25">
      <c r="A403" t="str">
        <f>"00718220"</f>
        <v>00718220</v>
      </c>
      <c r="B403" t="s">
        <v>742</v>
      </c>
      <c r="C403" t="s">
        <v>743</v>
      </c>
      <c r="D403" t="s">
        <v>15</v>
      </c>
      <c r="E403" t="s">
        <v>16</v>
      </c>
      <c r="F403" t="s">
        <v>17</v>
      </c>
      <c r="G403" t="str">
        <f>"02"</f>
        <v>02</v>
      </c>
      <c r="H403" t="str">
        <f>"3  "</f>
        <v xml:space="preserve">3  </v>
      </c>
      <c r="I403" t="str">
        <f>"2018/09/20"</f>
        <v>2018/09/20</v>
      </c>
      <c r="J403" t="str">
        <f>"503"</f>
        <v>503</v>
      </c>
      <c r="K403" t="str">
        <f>"20300903"</f>
        <v>20300903</v>
      </c>
      <c r="L403" t="s">
        <v>18</v>
      </c>
      <c r="M403" t="str">
        <f>"20180301"</f>
        <v>20180301</v>
      </c>
    </row>
    <row r="404" spans="1:13" x14ac:dyDescent="0.25">
      <c r="A404" t="str">
        <f>"00559417"</f>
        <v>00559417</v>
      </c>
      <c r="B404" t="s">
        <v>746</v>
      </c>
      <c r="C404" t="s">
        <v>14</v>
      </c>
      <c r="D404" t="s">
        <v>25</v>
      </c>
      <c r="E404" t="s">
        <v>16</v>
      </c>
      <c r="F404" t="s">
        <v>17</v>
      </c>
      <c r="G404" t="str">
        <f>"02"</f>
        <v>02</v>
      </c>
      <c r="H404" t="str">
        <f>"3  "</f>
        <v xml:space="preserve">3  </v>
      </c>
      <c r="I404" t="str">
        <f>"2018/10/05"</f>
        <v>2018/10/05</v>
      </c>
      <c r="J404" t="str">
        <f>"510"</f>
        <v>510</v>
      </c>
      <c r="K404" t="str">
        <f>"20260117"</f>
        <v>20260117</v>
      </c>
      <c r="L404" t="s">
        <v>18</v>
      </c>
      <c r="M404" t="str">
        <f>"20170411"</f>
        <v>20170411</v>
      </c>
    </row>
    <row r="405" spans="1:13" x14ac:dyDescent="0.25">
      <c r="A405" t="str">
        <f>"00361046"</f>
        <v>00361046</v>
      </c>
      <c r="B405" t="s">
        <v>750</v>
      </c>
      <c r="C405" t="s">
        <v>74</v>
      </c>
      <c r="D405" t="s">
        <v>15</v>
      </c>
      <c r="E405" t="s">
        <v>16</v>
      </c>
      <c r="F405" t="s">
        <v>17</v>
      </c>
      <c r="G405" t="str">
        <f>"02"</f>
        <v>02</v>
      </c>
      <c r="H405" t="str">
        <f>"3  "</f>
        <v xml:space="preserve">3  </v>
      </c>
      <c r="I405" t="str">
        <f>"2020/07/21"</f>
        <v>2020/07/21</v>
      </c>
      <c r="J405" t="str">
        <f>"533"</f>
        <v>533</v>
      </c>
      <c r="K405" t="str">
        <f>"20280725"</f>
        <v>20280725</v>
      </c>
      <c r="L405" t="s">
        <v>18</v>
      </c>
      <c r="M405" t="str">
        <f>"20060706"</f>
        <v>20060706</v>
      </c>
    </row>
    <row r="406" spans="1:13" x14ac:dyDescent="0.25">
      <c r="A406" t="str">
        <f>"00213476"</f>
        <v>00213476</v>
      </c>
      <c r="B406" t="s">
        <v>751</v>
      </c>
      <c r="C406" t="s">
        <v>754</v>
      </c>
      <c r="D406" t="s">
        <v>53</v>
      </c>
      <c r="E406" t="s">
        <v>26</v>
      </c>
      <c r="F406" t="s">
        <v>17</v>
      </c>
      <c r="G406" t="str">
        <f>"02"</f>
        <v>02</v>
      </c>
      <c r="H406" t="str">
        <f>"3  "</f>
        <v xml:space="preserve">3  </v>
      </c>
      <c r="I406" t="str">
        <f>"2002/07/30"</f>
        <v>2002/07/30</v>
      </c>
      <c r="J406" t="str">
        <f>"110"</f>
        <v>110</v>
      </c>
      <c r="K406" t="str">
        <f>"20210903"</f>
        <v>20210903</v>
      </c>
      <c r="L406" t="s">
        <v>18</v>
      </c>
      <c r="M406" t="str">
        <f>"20020724"</f>
        <v>20020724</v>
      </c>
    </row>
    <row r="407" spans="1:13" x14ac:dyDescent="0.25">
      <c r="A407" t="str">
        <f>"00428020"</f>
        <v>00428020</v>
      </c>
      <c r="B407" t="s">
        <v>751</v>
      </c>
      <c r="C407" t="s">
        <v>169</v>
      </c>
      <c r="D407" t="s">
        <v>25</v>
      </c>
      <c r="E407" t="s">
        <v>26</v>
      </c>
      <c r="F407" t="s">
        <v>17</v>
      </c>
      <c r="G407" t="str">
        <f>"02"</f>
        <v>02</v>
      </c>
      <c r="H407" t="str">
        <f>"3  "</f>
        <v xml:space="preserve">3  </v>
      </c>
      <c r="I407" t="str">
        <f>"2019/01/11"</f>
        <v>2019/01/11</v>
      </c>
      <c r="J407" t="str">
        <f>"503"</f>
        <v>503</v>
      </c>
      <c r="K407" t="str">
        <f>"20221001"</f>
        <v>20221001</v>
      </c>
      <c r="L407" t="s">
        <v>18</v>
      </c>
      <c r="M407" t="str">
        <f>"20180310"</f>
        <v>20180310</v>
      </c>
    </row>
    <row r="408" spans="1:13" x14ac:dyDescent="0.25">
      <c r="A408" t="str">
        <f>"00430031"</f>
        <v>00430031</v>
      </c>
      <c r="B408" t="s">
        <v>757</v>
      </c>
      <c r="C408" t="s">
        <v>758</v>
      </c>
      <c r="D408" t="s">
        <v>40</v>
      </c>
      <c r="E408" t="s">
        <v>26</v>
      </c>
      <c r="F408" t="s">
        <v>17</v>
      </c>
      <c r="G408" t="str">
        <f>"02"</f>
        <v>02</v>
      </c>
      <c r="H408" t="str">
        <f>"7  "</f>
        <v xml:space="preserve">7  </v>
      </c>
      <c r="I408" t="str">
        <f>"2020/02/07"</f>
        <v>2020/02/07</v>
      </c>
      <c r="J408" t="str">
        <f>"510"</f>
        <v>510</v>
      </c>
      <c r="K408" t="s">
        <v>18</v>
      </c>
      <c r="L408" t="s">
        <v>18</v>
      </c>
      <c r="M408" t="str">
        <f>"20180401"</f>
        <v>20180401</v>
      </c>
    </row>
    <row r="409" spans="1:13" x14ac:dyDescent="0.25">
      <c r="A409" t="str">
        <f>"00928406"</f>
        <v>00928406</v>
      </c>
      <c r="B409" t="s">
        <v>760</v>
      </c>
      <c r="C409" t="s">
        <v>761</v>
      </c>
      <c r="D409" t="s">
        <v>51</v>
      </c>
      <c r="E409" t="s">
        <v>26</v>
      </c>
      <c r="F409" t="s">
        <v>17</v>
      </c>
      <c r="G409" t="str">
        <f>"02"</f>
        <v>02</v>
      </c>
      <c r="H409" t="str">
        <f>"0  "</f>
        <v xml:space="preserve">0  </v>
      </c>
      <c r="I409" t="str">
        <f>"2020/09/17"</f>
        <v>2020/09/17</v>
      </c>
      <c r="J409" t="str">
        <f>"503"</f>
        <v>503</v>
      </c>
      <c r="K409" t="s">
        <v>18</v>
      </c>
      <c r="L409" t="s">
        <v>18</v>
      </c>
      <c r="M409" t="s">
        <v>18</v>
      </c>
    </row>
    <row r="410" spans="1:13" x14ac:dyDescent="0.25">
      <c r="A410" t="str">
        <f>"00871885"</f>
        <v>00871885</v>
      </c>
      <c r="B410" t="s">
        <v>768</v>
      </c>
      <c r="C410" t="s">
        <v>117</v>
      </c>
      <c r="D410" t="s">
        <v>25</v>
      </c>
      <c r="E410" t="s">
        <v>26</v>
      </c>
      <c r="F410" t="s">
        <v>17</v>
      </c>
      <c r="G410" t="str">
        <f>"02"</f>
        <v>02</v>
      </c>
      <c r="H410" t="str">
        <f>"3  "</f>
        <v xml:space="preserve">3  </v>
      </c>
      <c r="I410" t="str">
        <f>"2019/05/28"</f>
        <v>2019/05/28</v>
      </c>
      <c r="J410" t="str">
        <f>"510"</f>
        <v>510</v>
      </c>
      <c r="K410" t="str">
        <f>"20261121"</f>
        <v>20261121</v>
      </c>
      <c r="L410" t="s">
        <v>18</v>
      </c>
      <c r="M410" t="str">
        <f>"20180112"</f>
        <v>20180112</v>
      </c>
    </row>
    <row r="411" spans="1:13" x14ac:dyDescent="0.25">
      <c r="A411" t="str">
        <f>"00483118"</f>
        <v>00483118</v>
      </c>
      <c r="B411" t="s">
        <v>771</v>
      </c>
      <c r="C411" t="s">
        <v>772</v>
      </c>
      <c r="D411" t="s">
        <v>456</v>
      </c>
      <c r="E411" t="s">
        <v>16</v>
      </c>
      <c r="F411" t="s">
        <v>17</v>
      </c>
      <c r="G411" t="str">
        <f>"02"</f>
        <v>02</v>
      </c>
      <c r="H411" t="str">
        <f>"3  "</f>
        <v xml:space="preserve">3  </v>
      </c>
      <c r="I411" t="str">
        <f>"2006/06/26"</f>
        <v>2006/06/26</v>
      </c>
      <c r="J411" t="str">
        <f>"503"</f>
        <v>503</v>
      </c>
      <c r="K411" t="str">
        <f>"20290429"</f>
        <v>20290429</v>
      </c>
      <c r="L411" t="s">
        <v>18</v>
      </c>
      <c r="M411" t="str">
        <f>"20020516"</f>
        <v>20020516</v>
      </c>
    </row>
    <row r="412" spans="1:13" x14ac:dyDescent="0.25">
      <c r="A412" t="str">
        <f>"00458899"</f>
        <v>00458899</v>
      </c>
      <c r="B412" t="s">
        <v>771</v>
      </c>
      <c r="C412" t="s">
        <v>353</v>
      </c>
      <c r="D412" t="s">
        <v>51</v>
      </c>
      <c r="E412" t="s">
        <v>26</v>
      </c>
      <c r="F412" t="s">
        <v>17</v>
      </c>
      <c r="G412" t="str">
        <f>"02"</f>
        <v>02</v>
      </c>
      <c r="H412" t="str">
        <f>"3  "</f>
        <v xml:space="preserve">3  </v>
      </c>
      <c r="I412" t="str">
        <f>"2020/08/05"</f>
        <v>2020/08/05</v>
      </c>
      <c r="J412" t="str">
        <f>"503"</f>
        <v>503</v>
      </c>
      <c r="K412" t="str">
        <f>"20280326"</f>
        <v>20280326</v>
      </c>
      <c r="L412" t="s">
        <v>18</v>
      </c>
      <c r="M412" t="str">
        <f>"20141115"</f>
        <v>20141115</v>
      </c>
    </row>
    <row r="413" spans="1:13" x14ac:dyDescent="0.25">
      <c r="A413" t="str">
        <f>"00607928"</f>
        <v>00607928</v>
      </c>
      <c r="B413" t="s">
        <v>771</v>
      </c>
      <c r="C413" t="s">
        <v>774</v>
      </c>
      <c r="D413" t="s">
        <v>15</v>
      </c>
      <c r="E413" t="s">
        <v>26</v>
      </c>
      <c r="F413" t="s">
        <v>17</v>
      </c>
      <c r="G413" t="str">
        <f>"02"</f>
        <v>02</v>
      </c>
      <c r="H413" t="str">
        <f>"3  "</f>
        <v xml:space="preserve">3  </v>
      </c>
      <c r="I413" t="str">
        <f>"2017/07/28"</f>
        <v>2017/07/28</v>
      </c>
      <c r="J413" t="str">
        <f>"510"</f>
        <v>510</v>
      </c>
      <c r="K413" t="str">
        <f>"20311011"</f>
        <v>20311011</v>
      </c>
      <c r="L413" t="s">
        <v>18</v>
      </c>
      <c r="M413" t="str">
        <f>"20160718"</f>
        <v>20160718</v>
      </c>
    </row>
    <row r="414" spans="1:13" x14ac:dyDescent="0.25">
      <c r="A414" t="str">
        <f>"00490196"</f>
        <v>00490196</v>
      </c>
      <c r="B414" t="s">
        <v>771</v>
      </c>
      <c r="C414" t="s">
        <v>775</v>
      </c>
      <c r="D414" t="s">
        <v>25</v>
      </c>
      <c r="E414" t="s">
        <v>26</v>
      </c>
      <c r="F414" t="s">
        <v>17</v>
      </c>
      <c r="G414" t="str">
        <f>"02"</f>
        <v>02</v>
      </c>
      <c r="H414" t="str">
        <f>"3  "</f>
        <v xml:space="preserve">3  </v>
      </c>
      <c r="I414" t="str">
        <f>"2017/05/04"</f>
        <v>2017/05/04</v>
      </c>
      <c r="J414" t="str">
        <f>"110"</f>
        <v>110</v>
      </c>
      <c r="K414" t="str">
        <f>"20240831"</f>
        <v>20240831</v>
      </c>
      <c r="L414" t="s">
        <v>18</v>
      </c>
      <c r="M414" t="str">
        <f>"20161003"</f>
        <v>20161003</v>
      </c>
    </row>
    <row r="415" spans="1:13" x14ac:dyDescent="0.25">
      <c r="A415" t="str">
        <f>"00510253"</f>
        <v>00510253</v>
      </c>
      <c r="B415" t="s">
        <v>771</v>
      </c>
      <c r="C415" t="s">
        <v>601</v>
      </c>
      <c r="D415" t="s">
        <v>25</v>
      </c>
      <c r="E415" t="s">
        <v>26</v>
      </c>
      <c r="F415" t="s">
        <v>17</v>
      </c>
      <c r="G415" t="str">
        <f>"02"</f>
        <v>02</v>
      </c>
      <c r="H415" t="str">
        <f>"3  "</f>
        <v xml:space="preserve">3  </v>
      </c>
      <c r="I415" t="str">
        <f>"2016/11/16"</f>
        <v>2016/11/16</v>
      </c>
      <c r="J415" t="str">
        <f>"510"</f>
        <v>510</v>
      </c>
      <c r="K415" t="str">
        <f>"20340609"</f>
        <v>20340609</v>
      </c>
      <c r="L415" t="s">
        <v>18</v>
      </c>
      <c r="M415" t="str">
        <f>"20150715"</f>
        <v>20150715</v>
      </c>
    </row>
    <row r="416" spans="1:13" x14ac:dyDescent="0.25">
      <c r="A416" t="str">
        <f>"00896718"</f>
        <v>00896718</v>
      </c>
      <c r="B416" t="s">
        <v>781</v>
      </c>
      <c r="C416" t="s">
        <v>186</v>
      </c>
      <c r="D416" t="s">
        <v>15</v>
      </c>
      <c r="E416" t="s">
        <v>26</v>
      </c>
      <c r="F416" t="s">
        <v>17</v>
      </c>
      <c r="G416" t="str">
        <f>"02"</f>
        <v>02</v>
      </c>
      <c r="H416" t="str">
        <f>"1  "</f>
        <v xml:space="preserve">1  </v>
      </c>
      <c r="I416" t="str">
        <f>"2020/09/18"</f>
        <v>2020/09/18</v>
      </c>
      <c r="J416" t="str">
        <f>"504"</f>
        <v>504</v>
      </c>
      <c r="K416" t="str">
        <f>"20210225"</f>
        <v>20210225</v>
      </c>
      <c r="L416" t="s">
        <v>18</v>
      </c>
      <c r="M416" t="str">
        <f>"20200910"</f>
        <v>20200910</v>
      </c>
    </row>
    <row r="417" spans="1:13" x14ac:dyDescent="0.25">
      <c r="A417" t="str">
        <f>"00169867"</f>
        <v>00169867</v>
      </c>
      <c r="B417" t="s">
        <v>783</v>
      </c>
      <c r="C417" t="s">
        <v>788</v>
      </c>
      <c r="D417" t="s">
        <v>45</v>
      </c>
      <c r="E417" t="s">
        <v>26</v>
      </c>
      <c r="F417" t="s">
        <v>17</v>
      </c>
      <c r="G417" t="str">
        <f>"02"</f>
        <v>02</v>
      </c>
      <c r="H417" t="str">
        <f>"7  "</f>
        <v xml:space="preserve">7  </v>
      </c>
      <c r="I417" t="str">
        <f>"2009/11/16"</f>
        <v>2009/11/16</v>
      </c>
      <c r="J417" t="str">
        <f>"503"</f>
        <v>503</v>
      </c>
      <c r="K417" t="s">
        <v>18</v>
      </c>
      <c r="L417" t="s">
        <v>18</v>
      </c>
      <c r="M417" t="str">
        <f>"20070424"</f>
        <v>20070424</v>
      </c>
    </row>
    <row r="418" spans="1:13" x14ac:dyDescent="0.25">
      <c r="A418" t="str">
        <f>"00494121"</f>
        <v>00494121</v>
      </c>
      <c r="B418" t="s">
        <v>783</v>
      </c>
      <c r="C418" t="s">
        <v>261</v>
      </c>
      <c r="D418" t="s">
        <v>21</v>
      </c>
      <c r="E418" t="s">
        <v>26</v>
      </c>
      <c r="F418" t="s">
        <v>17</v>
      </c>
      <c r="G418" t="str">
        <f>"02"</f>
        <v>02</v>
      </c>
      <c r="H418" t="str">
        <f>"3  "</f>
        <v xml:space="preserve">3  </v>
      </c>
      <c r="I418" t="str">
        <f>"2014/10/29"</f>
        <v>2014/10/29</v>
      </c>
      <c r="J418" t="str">
        <f>"110"</f>
        <v>110</v>
      </c>
      <c r="K418" t="str">
        <f>"20240311"</f>
        <v>20240311</v>
      </c>
      <c r="L418" t="s">
        <v>18</v>
      </c>
      <c r="M418" t="str">
        <f>"20140615"</f>
        <v>20140615</v>
      </c>
    </row>
    <row r="419" spans="1:13" x14ac:dyDescent="0.25">
      <c r="A419" t="str">
        <f>"00279186"</f>
        <v>00279186</v>
      </c>
      <c r="B419" t="s">
        <v>783</v>
      </c>
      <c r="C419" t="s">
        <v>789</v>
      </c>
      <c r="D419" t="s">
        <v>31</v>
      </c>
      <c r="E419" t="s">
        <v>26</v>
      </c>
      <c r="F419" t="s">
        <v>17</v>
      </c>
      <c r="G419" t="str">
        <f>"02"</f>
        <v>02</v>
      </c>
      <c r="H419" t="str">
        <f>"3  "</f>
        <v xml:space="preserve">3  </v>
      </c>
      <c r="I419" t="str">
        <f>"2020/09/16"</f>
        <v>2020/09/16</v>
      </c>
      <c r="J419" t="str">
        <f>"533"</f>
        <v>533</v>
      </c>
      <c r="K419" t="str">
        <f>"20350828"</f>
        <v>20350828</v>
      </c>
      <c r="L419" t="s">
        <v>18</v>
      </c>
      <c r="M419" t="str">
        <f>"20171205"</f>
        <v>20171205</v>
      </c>
    </row>
    <row r="420" spans="1:13" x14ac:dyDescent="0.25">
      <c r="A420" t="str">
        <f>"00549658"</f>
        <v>00549658</v>
      </c>
      <c r="B420" t="s">
        <v>783</v>
      </c>
      <c r="C420" t="s">
        <v>791</v>
      </c>
      <c r="D420" t="s">
        <v>15</v>
      </c>
      <c r="E420" t="s">
        <v>26</v>
      </c>
      <c r="F420" t="s">
        <v>17</v>
      </c>
      <c r="G420" t="str">
        <f>"02"</f>
        <v>02</v>
      </c>
      <c r="H420" t="str">
        <f>"3  "</f>
        <v xml:space="preserve">3  </v>
      </c>
      <c r="I420" t="str">
        <f>"2015/02/02"</f>
        <v>2015/02/02</v>
      </c>
      <c r="J420" t="str">
        <f>"510"</f>
        <v>510</v>
      </c>
      <c r="K420" t="str">
        <f>"20330720"</f>
        <v>20330720</v>
      </c>
      <c r="L420" t="s">
        <v>18</v>
      </c>
      <c r="M420" t="str">
        <f>"20131009"</f>
        <v>20131009</v>
      </c>
    </row>
    <row r="421" spans="1:13" x14ac:dyDescent="0.25">
      <c r="A421" t="str">
        <f>"00745943"</f>
        <v>00745943</v>
      </c>
      <c r="B421" t="s">
        <v>800</v>
      </c>
      <c r="C421" t="s">
        <v>14</v>
      </c>
      <c r="D421" t="s">
        <v>73</v>
      </c>
      <c r="E421" t="s">
        <v>16</v>
      </c>
      <c r="F421" t="s">
        <v>17</v>
      </c>
      <c r="G421" t="str">
        <f>"02"</f>
        <v>02</v>
      </c>
      <c r="H421" t="str">
        <f>"3  "</f>
        <v xml:space="preserve">3  </v>
      </c>
      <c r="I421" t="str">
        <f>"2014/02/19"</f>
        <v>2014/02/19</v>
      </c>
      <c r="J421" t="str">
        <f>"110"</f>
        <v>110</v>
      </c>
      <c r="K421" t="str">
        <f>"20220116"</f>
        <v>20220116</v>
      </c>
      <c r="L421" t="s">
        <v>18</v>
      </c>
      <c r="M421" t="str">
        <f>"20130620"</f>
        <v>20130620</v>
      </c>
    </row>
    <row r="422" spans="1:13" x14ac:dyDescent="0.25">
      <c r="A422" t="str">
        <f>"00594703"</f>
        <v>00594703</v>
      </c>
      <c r="B422" t="s">
        <v>809</v>
      </c>
      <c r="C422" t="s">
        <v>810</v>
      </c>
      <c r="D422" t="s">
        <v>25</v>
      </c>
      <c r="E422" t="s">
        <v>16</v>
      </c>
      <c r="F422" t="s">
        <v>17</v>
      </c>
      <c r="G422" t="str">
        <f>"02"</f>
        <v>02</v>
      </c>
      <c r="H422" t="str">
        <f>"3  "</f>
        <v xml:space="preserve">3  </v>
      </c>
      <c r="I422" t="str">
        <f>"2008/12/30"</f>
        <v>2008/12/30</v>
      </c>
      <c r="J422" t="str">
        <f>"510"</f>
        <v>510</v>
      </c>
      <c r="K422" t="str">
        <f>"20341116"</f>
        <v>20341116</v>
      </c>
      <c r="L422" t="s">
        <v>18</v>
      </c>
      <c r="M422" t="str">
        <f>"20060915"</f>
        <v>20060915</v>
      </c>
    </row>
    <row r="423" spans="1:13" x14ac:dyDescent="0.25">
      <c r="A423" t="str">
        <f>"00310040"</f>
        <v>00310040</v>
      </c>
      <c r="B423" t="s">
        <v>812</v>
      </c>
      <c r="C423" t="s">
        <v>526</v>
      </c>
      <c r="D423" t="s">
        <v>16</v>
      </c>
      <c r="E423" t="s">
        <v>16</v>
      </c>
      <c r="F423" t="s">
        <v>17</v>
      </c>
      <c r="G423" t="str">
        <f>"02"</f>
        <v>02</v>
      </c>
      <c r="H423" t="str">
        <f>"3  "</f>
        <v xml:space="preserve">3  </v>
      </c>
      <c r="I423" t="str">
        <f>"2010/10/18"</f>
        <v>2010/10/18</v>
      </c>
      <c r="J423" t="str">
        <f>"110"</f>
        <v>110</v>
      </c>
      <c r="K423" t="str">
        <f>"20250909"</f>
        <v>20250909</v>
      </c>
      <c r="L423" t="s">
        <v>18</v>
      </c>
      <c r="M423" t="str">
        <f>"20100729"</f>
        <v>20100729</v>
      </c>
    </row>
    <row r="424" spans="1:13" x14ac:dyDescent="0.25">
      <c r="A424" t="str">
        <f>"00178712"</f>
        <v>00178712</v>
      </c>
      <c r="B424" t="s">
        <v>816</v>
      </c>
      <c r="C424" t="s">
        <v>288</v>
      </c>
      <c r="D424" t="s">
        <v>61</v>
      </c>
      <c r="E424" t="s">
        <v>26</v>
      </c>
      <c r="F424" t="s">
        <v>17</v>
      </c>
      <c r="G424" t="str">
        <f>"02"</f>
        <v>02</v>
      </c>
      <c r="H424" t="str">
        <f>"7  "</f>
        <v xml:space="preserve">7  </v>
      </c>
      <c r="I424" t="str">
        <f>"2001/01/24"</f>
        <v>2001/01/24</v>
      </c>
      <c r="J424" t="str">
        <f>"533"</f>
        <v>533</v>
      </c>
      <c r="K424" t="s">
        <v>18</v>
      </c>
      <c r="L424" t="str">
        <f>"20220217"</f>
        <v>20220217</v>
      </c>
      <c r="M424" t="str">
        <f>"19820217"</f>
        <v>19820217</v>
      </c>
    </row>
    <row r="425" spans="1:13" x14ac:dyDescent="0.25">
      <c r="A425" t="str">
        <f>"00406799"</f>
        <v>00406799</v>
      </c>
      <c r="B425" t="s">
        <v>819</v>
      </c>
      <c r="C425" t="s">
        <v>820</v>
      </c>
      <c r="D425" t="s">
        <v>26</v>
      </c>
      <c r="E425" t="s">
        <v>16</v>
      </c>
      <c r="F425" t="s">
        <v>17</v>
      </c>
      <c r="G425" t="str">
        <f>"02"</f>
        <v>02</v>
      </c>
      <c r="H425" t="str">
        <f>"3  "</f>
        <v xml:space="preserve">3  </v>
      </c>
      <c r="I425" t="str">
        <f>"2016/10/07"</f>
        <v>2016/10/07</v>
      </c>
      <c r="J425" t="str">
        <f>"503"</f>
        <v>503</v>
      </c>
      <c r="K425" t="str">
        <f>"20280829"</f>
        <v>20280829</v>
      </c>
      <c r="L425" t="s">
        <v>18</v>
      </c>
      <c r="M425" t="str">
        <f>"19990226"</f>
        <v>19990226</v>
      </c>
    </row>
    <row r="426" spans="1:13" x14ac:dyDescent="0.25">
      <c r="A426" t="str">
        <f>"00183171"</f>
        <v>00183171</v>
      </c>
      <c r="B426" t="s">
        <v>824</v>
      </c>
      <c r="C426" t="s">
        <v>55</v>
      </c>
      <c r="D426" t="s">
        <v>51</v>
      </c>
      <c r="E426" t="s">
        <v>26</v>
      </c>
      <c r="F426" t="s">
        <v>17</v>
      </c>
      <c r="G426" t="str">
        <f>"02"</f>
        <v>02</v>
      </c>
      <c r="H426" t="str">
        <f>"7  "</f>
        <v xml:space="preserve">7  </v>
      </c>
      <c r="I426" t="str">
        <f>"2001/01/24"</f>
        <v>2001/01/24</v>
      </c>
      <c r="J426" t="str">
        <f>"533"</f>
        <v>533</v>
      </c>
      <c r="K426" t="s">
        <v>18</v>
      </c>
      <c r="L426" t="str">
        <f>"20191022"</f>
        <v>20191022</v>
      </c>
      <c r="M426" t="str">
        <f>"19900628"</f>
        <v>19900628</v>
      </c>
    </row>
    <row r="427" spans="1:13" x14ac:dyDescent="0.25">
      <c r="A427" t="str">
        <f>"00179415"</f>
        <v>00179415</v>
      </c>
      <c r="B427" t="s">
        <v>826</v>
      </c>
      <c r="C427" t="s">
        <v>191</v>
      </c>
      <c r="D427" t="s">
        <v>97</v>
      </c>
      <c r="E427" t="s">
        <v>26</v>
      </c>
      <c r="F427" t="s">
        <v>17</v>
      </c>
      <c r="G427" t="str">
        <f>"02"</f>
        <v>02</v>
      </c>
      <c r="H427" t="str">
        <f>"3  "</f>
        <v xml:space="preserve">3  </v>
      </c>
      <c r="I427" t="str">
        <f>"2002/06/03"</f>
        <v>2002/06/03</v>
      </c>
      <c r="J427" t="str">
        <f>"502"</f>
        <v>502</v>
      </c>
      <c r="K427" t="str">
        <f>"20520911"</f>
        <v>20520911</v>
      </c>
      <c r="L427" t="s">
        <v>18</v>
      </c>
      <c r="M427" t="str">
        <f>"20010524"</f>
        <v>20010524</v>
      </c>
    </row>
    <row r="428" spans="1:13" x14ac:dyDescent="0.25">
      <c r="A428" t="str">
        <f>"00573614"</f>
        <v>00573614</v>
      </c>
      <c r="B428" t="s">
        <v>826</v>
      </c>
      <c r="C428" t="s">
        <v>369</v>
      </c>
      <c r="D428" t="s">
        <v>16</v>
      </c>
      <c r="E428" t="s">
        <v>16</v>
      </c>
      <c r="F428" t="s">
        <v>17</v>
      </c>
      <c r="G428" t="str">
        <f>"02"</f>
        <v>02</v>
      </c>
      <c r="H428" t="str">
        <f>"3  "</f>
        <v xml:space="preserve">3  </v>
      </c>
      <c r="I428" t="str">
        <f>"2020/04/03"</f>
        <v>2020/04/03</v>
      </c>
      <c r="J428" t="str">
        <f>"503"</f>
        <v>503</v>
      </c>
      <c r="K428" t="str">
        <f>"20411223"</f>
        <v>20411223</v>
      </c>
      <c r="L428" t="s">
        <v>18</v>
      </c>
      <c r="M428" t="str">
        <f>"20190531"</f>
        <v>20190531</v>
      </c>
    </row>
    <row r="429" spans="1:13" x14ac:dyDescent="0.25">
      <c r="A429" t="str">
        <f>"00585141"</f>
        <v>00585141</v>
      </c>
      <c r="B429" t="s">
        <v>826</v>
      </c>
      <c r="C429" t="s">
        <v>830</v>
      </c>
      <c r="D429" t="s">
        <v>61</v>
      </c>
      <c r="E429" t="s">
        <v>26</v>
      </c>
      <c r="F429" t="s">
        <v>17</v>
      </c>
      <c r="G429" t="str">
        <f>"02"</f>
        <v>02</v>
      </c>
      <c r="H429" t="str">
        <f>"3  "</f>
        <v xml:space="preserve">3  </v>
      </c>
      <c r="I429" t="str">
        <f>"2018/02/09"</f>
        <v>2018/02/09</v>
      </c>
      <c r="J429" t="str">
        <f>"510"</f>
        <v>510</v>
      </c>
      <c r="K429" t="str">
        <f>"20240330"</f>
        <v>20240330</v>
      </c>
      <c r="L429" t="s">
        <v>18</v>
      </c>
      <c r="M429" t="str">
        <f>"20170101"</f>
        <v>20170101</v>
      </c>
    </row>
    <row r="430" spans="1:13" x14ac:dyDescent="0.25">
      <c r="A430" t="str">
        <f>"00419947"</f>
        <v>00419947</v>
      </c>
      <c r="B430" t="s">
        <v>826</v>
      </c>
      <c r="C430" t="s">
        <v>99</v>
      </c>
      <c r="D430" t="s">
        <v>51</v>
      </c>
      <c r="E430" t="s">
        <v>26</v>
      </c>
      <c r="F430" t="s">
        <v>17</v>
      </c>
      <c r="G430" t="str">
        <f>"02"</f>
        <v>02</v>
      </c>
      <c r="H430" t="str">
        <f>"7  "</f>
        <v xml:space="preserve">7  </v>
      </c>
      <c r="I430" t="str">
        <f>"2010/08/18"</f>
        <v>2010/08/18</v>
      </c>
      <c r="J430" t="str">
        <f>"110"</f>
        <v>110</v>
      </c>
      <c r="K430" t="s">
        <v>18</v>
      </c>
      <c r="L430" t="s">
        <v>18</v>
      </c>
      <c r="M430" t="str">
        <f>"20081017"</f>
        <v>20081017</v>
      </c>
    </row>
    <row r="431" spans="1:13" x14ac:dyDescent="0.25">
      <c r="A431" t="str">
        <f>"00516667"</f>
        <v>00516667</v>
      </c>
      <c r="B431" t="s">
        <v>826</v>
      </c>
      <c r="C431" t="s">
        <v>671</v>
      </c>
      <c r="D431" t="s">
        <v>61</v>
      </c>
      <c r="E431" t="s">
        <v>26</v>
      </c>
      <c r="F431" t="s">
        <v>17</v>
      </c>
      <c r="G431" t="str">
        <f>"02"</f>
        <v>02</v>
      </c>
      <c r="H431" t="str">
        <f>"3  "</f>
        <v xml:space="preserve">3  </v>
      </c>
      <c r="I431" t="str">
        <f>"2004/09/24"</f>
        <v>2004/09/24</v>
      </c>
      <c r="J431" t="str">
        <f>"510"</f>
        <v>510</v>
      </c>
      <c r="K431" t="str">
        <f>"20210422"</f>
        <v>20210422</v>
      </c>
      <c r="L431" t="s">
        <v>18</v>
      </c>
      <c r="M431" t="str">
        <f>"20031026"</f>
        <v>20031026</v>
      </c>
    </row>
    <row r="432" spans="1:13" x14ac:dyDescent="0.25">
      <c r="A432" t="str">
        <f>"00185092"</f>
        <v>00185092</v>
      </c>
      <c r="B432" t="s">
        <v>826</v>
      </c>
      <c r="C432" t="s">
        <v>320</v>
      </c>
      <c r="D432" t="s">
        <v>15</v>
      </c>
      <c r="E432" t="s">
        <v>16</v>
      </c>
      <c r="F432" t="s">
        <v>17</v>
      </c>
      <c r="G432" t="str">
        <f>"02"</f>
        <v>02</v>
      </c>
      <c r="H432" t="str">
        <f>"7  "</f>
        <v xml:space="preserve">7  </v>
      </c>
      <c r="I432" t="str">
        <f>"2018/08/27"</f>
        <v>2018/08/27</v>
      </c>
      <c r="J432" t="str">
        <f>"503"</f>
        <v>503</v>
      </c>
      <c r="K432" t="s">
        <v>18</v>
      </c>
      <c r="L432" t="str">
        <f>"20410405"</f>
        <v>20410405</v>
      </c>
      <c r="M432" t="str">
        <f>"20120715"</f>
        <v>20120715</v>
      </c>
    </row>
    <row r="433" spans="1:13" x14ac:dyDescent="0.25">
      <c r="A433" t="str">
        <f>"00206856"</f>
        <v>00206856</v>
      </c>
      <c r="B433" t="s">
        <v>826</v>
      </c>
      <c r="C433" t="s">
        <v>833</v>
      </c>
      <c r="D433" t="s">
        <v>73</v>
      </c>
      <c r="E433" t="s">
        <v>16</v>
      </c>
      <c r="F433" t="s">
        <v>17</v>
      </c>
      <c r="G433" t="str">
        <f>"02"</f>
        <v>02</v>
      </c>
      <c r="H433" t="str">
        <f>"3  "</f>
        <v xml:space="preserve">3  </v>
      </c>
      <c r="I433" t="str">
        <f>"2019/05/17"</f>
        <v>2019/05/17</v>
      </c>
      <c r="J433" t="str">
        <f>"510"</f>
        <v>510</v>
      </c>
      <c r="K433" t="str">
        <f>"20280509"</f>
        <v>20280509</v>
      </c>
      <c r="L433" t="s">
        <v>18</v>
      </c>
      <c r="M433" t="str">
        <f>"20180803"</f>
        <v>20180803</v>
      </c>
    </row>
    <row r="434" spans="1:13" x14ac:dyDescent="0.25">
      <c r="A434" t="str">
        <f>"00455732"</f>
        <v>00455732</v>
      </c>
      <c r="B434" t="s">
        <v>826</v>
      </c>
      <c r="C434" t="s">
        <v>60</v>
      </c>
      <c r="D434" t="s">
        <v>25</v>
      </c>
      <c r="E434" t="s">
        <v>26</v>
      </c>
      <c r="F434" t="s">
        <v>17</v>
      </c>
      <c r="G434" t="str">
        <f>"02"</f>
        <v>02</v>
      </c>
      <c r="H434" t="str">
        <f>"3  "</f>
        <v xml:space="preserve">3  </v>
      </c>
      <c r="I434" t="str">
        <f>"2010/09/30"</f>
        <v>2010/09/30</v>
      </c>
      <c r="J434" t="str">
        <f>"510"</f>
        <v>510</v>
      </c>
      <c r="K434" t="str">
        <f>"20410930"</f>
        <v>20410930</v>
      </c>
      <c r="L434" t="s">
        <v>18</v>
      </c>
      <c r="M434" t="str">
        <f>"20081001"</f>
        <v>20081001</v>
      </c>
    </row>
    <row r="435" spans="1:13" x14ac:dyDescent="0.25">
      <c r="A435" t="str">
        <f>"00759394"</f>
        <v>00759394</v>
      </c>
      <c r="B435" t="s">
        <v>826</v>
      </c>
      <c r="C435" t="s">
        <v>680</v>
      </c>
      <c r="D435" t="s">
        <v>25</v>
      </c>
      <c r="E435" t="s">
        <v>26</v>
      </c>
      <c r="F435" t="s">
        <v>17</v>
      </c>
      <c r="G435" t="str">
        <f>"02"</f>
        <v>02</v>
      </c>
      <c r="H435" t="str">
        <f>"3  "</f>
        <v xml:space="preserve">3  </v>
      </c>
      <c r="I435" t="str">
        <f>"2019/12/13"</f>
        <v>2019/12/13</v>
      </c>
      <c r="J435" t="str">
        <f>"533"</f>
        <v>533</v>
      </c>
      <c r="K435" t="str">
        <f>"20440616"</f>
        <v>20440616</v>
      </c>
      <c r="L435" t="s">
        <v>18</v>
      </c>
      <c r="M435" t="str">
        <f>"20150812"</f>
        <v>20150812</v>
      </c>
    </row>
    <row r="436" spans="1:13" x14ac:dyDescent="0.25">
      <c r="A436" t="str">
        <f>"00600084"</f>
        <v>00600084</v>
      </c>
      <c r="B436" t="s">
        <v>826</v>
      </c>
      <c r="C436" t="s">
        <v>663</v>
      </c>
      <c r="D436" t="s">
        <v>45</v>
      </c>
      <c r="E436" t="s">
        <v>26</v>
      </c>
      <c r="F436" t="s">
        <v>17</v>
      </c>
      <c r="G436" t="str">
        <f>"02"</f>
        <v>02</v>
      </c>
      <c r="H436" t="str">
        <f>"3  "</f>
        <v xml:space="preserve">3  </v>
      </c>
      <c r="I436" t="str">
        <f>"2020/09/16"</f>
        <v>2020/09/16</v>
      </c>
      <c r="J436" t="str">
        <f>"533"</f>
        <v>533</v>
      </c>
      <c r="K436" t="str">
        <f>"20390423"</f>
        <v>20390423</v>
      </c>
      <c r="L436" t="s">
        <v>18</v>
      </c>
      <c r="M436" t="str">
        <f>"20160213"</f>
        <v>20160213</v>
      </c>
    </row>
    <row r="437" spans="1:13" x14ac:dyDescent="0.25">
      <c r="A437" t="str">
        <f>"00222254"</f>
        <v>00222254</v>
      </c>
      <c r="B437" t="s">
        <v>836</v>
      </c>
      <c r="C437" t="s">
        <v>397</v>
      </c>
      <c r="D437" t="s">
        <v>37</v>
      </c>
      <c r="E437" t="s">
        <v>16</v>
      </c>
      <c r="F437" t="s">
        <v>17</v>
      </c>
      <c r="G437" t="str">
        <f>"02"</f>
        <v>02</v>
      </c>
      <c r="H437" t="str">
        <f>"3  "</f>
        <v xml:space="preserve">3  </v>
      </c>
      <c r="I437" t="str">
        <f>"2007/05/25"</f>
        <v>2007/05/25</v>
      </c>
      <c r="J437" t="str">
        <f>"110"</f>
        <v>110</v>
      </c>
      <c r="K437" t="str">
        <f>"20450727"</f>
        <v>20450727</v>
      </c>
      <c r="L437" t="s">
        <v>18</v>
      </c>
      <c r="M437" t="str">
        <f>"20060924"</f>
        <v>20060924</v>
      </c>
    </row>
    <row r="438" spans="1:13" x14ac:dyDescent="0.25">
      <c r="A438" t="str">
        <f>"00510866"</f>
        <v>00510866</v>
      </c>
      <c r="B438" t="s">
        <v>843</v>
      </c>
      <c r="C438" t="s">
        <v>423</v>
      </c>
      <c r="D438" t="s">
        <v>15</v>
      </c>
      <c r="E438" t="s">
        <v>16</v>
      </c>
      <c r="F438" t="s">
        <v>17</v>
      </c>
      <c r="G438" t="str">
        <f>"02"</f>
        <v>02</v>
      </c>
      <c r="H438" t="str">
        <f>"3  "</f>
        <v xml:space="preserve">3  </v>
      </c>
      <c r="I438" t="str">
        <f>"2019/08/30"</f>
        <v>2019/08/30</v>
      </c>
      <c r="J438" t="str">
        <f>"120"</f>
        <v>120</v>
      </c>
      <c r="K438" t="str">
        <f>"20541203"</f>
        <v>20541203</v>
      </c>
      <c r="L438" t="s">
        <v>18</v>
      </c>
      <c r="M438" t="str">
        <f>"20181102"</f>
        <v>20181102</v>
      </c>
    </row>
    <row r="439" spans="1:13" x14ac:dyDescent="0.25">
      <c r="A439" t="str">
        <f>"00145801"</f>
        <v>00145801</v>
      </c>
      <c r="B439" t="s">
        <v>850</v>
      </c>
      <c r="C439" t="s">
        <v>118</v>
      </c>
      <c r="D439" t="s">
        <v>21</v>
      </c>
      <c r="E439" t="s">
        <v>16</v>
      </c>
      <c r="F439" t="s">
        <v>17</v>
      </c>
      <c r="G439" t="str">
        <f>"02"</f>
        <v>02</v>
      </c>
      <c r="H439" t="str">
        <f>"3  "</f>
        <v xml:space="preserve">3  </v>
      </c>
      <c r="I439" t="str">
        <f>"2009/11/16"</f>
        <v>2009/11/16</v>
      </c>
      <c r="J439" t="str">
        <f>"503"</f>
        <v>503</v>
      </c>
      <c r="K439" t="str">
        <f>"20480228"</f>
        <v>20480228</v>
      </c>
      <c r="L439" t="s">
        <v>18</v>
      </c>
      <c r="M439" t="str">
        <f>"20080806"</f>
        <v>20080806</v>
      </c>
    </row>
    <row r="440" spans="1:13" x14ac:dyDescent="0.25">
      <c r="A440" t="str">
        <f>"00853176"</f>
        <v>00853176</v>
      </c>
      <c r="B440" t="s">
        <v>857</v>
      </c>
      <c r="C440" t="s">
        <v>578</v>
      </c>
      <c r="D440" t="s">
        <v>25</v>
      </c>
      <c r="E440" t="s">
        <v>26</v>
      </c>
      <c r="F440" t="s">
        <v>17</v>
      </c>
      <c r="G440" t="str">
        <f>"02"</f>
        <v>02</v>
      </c>
      <c r="H440" t="str">
        <f>"3  "</f>
        <v xml:space="preserve">3  </v>
      </c>
      <c r="I440" t="str">
        <f>"2020/03/02"</f>
        <v>2020/03/02</v>
      </c>
      <c r="J440" t="str">
        <f>"510"</f>
        <v>510</v>
      </c>
      <c r="K440" t="str">
        <f>"20350416"</f>
        <v>20350416</v>
      </c>
      <c r="L440" t="s">
        <v>18</v>
      </c>
      <c r="M440" t="str">
        <f>"20180218"</f>
        <v>20180218</v>
      </c>
    </row>
    <row r="441" spans="1:13" x14ac:dyDescent="0.25">
      <c r="A441" t="str">
        <f>"00295422"</f>
        <v>00295422</v>
      </c>
      <c r="B441" t="s">
        <v>859</v>
      </c>
      <c r="C441" t="s">
        <v>133</v>
      </c>
      <c r="D441" t="s">
        <v>51</v>
      </c>
      <c r="E441" t="s">
        <v>26</v>
      </c>
      <c r="F441" t="s">
        <v>17</v>
      </c>
      <c r="G441" t="str">
        <f>"02"</f>
        <v>02</v>
      </c>
      <c r="H441" t="str">
        <f>"3  "</f>
        <v xml:space="preserve">3  </v>
      </c>
      <c r="I441" t="str">
        <f>"2002/06/03"</f>
        <v>2002/06/03</v>
      </c>
      <c r="J441" t="str">
        <f>"502"</f>
        <v>502</v>
      </c>
      <c r="K441" t="str">
        <f>"20310602"</f>
        <v>20310602</v>
      </c>
      <c r="L441" t="s">
        <v>18</v>
      </c>
      <c r="M441" t="str">
        <f>"20001204"</f>
        <v>20001204</v>
      </c>
    </row>
    <row r="442" spans="1:13" x14ac:dyDescent="0.25">
      <c r="A442" t="str">
        <f>"00304967"</f>
        <v>00304967</v>
      </c>
      <c r="B442" t="s">
        <v>859</v>
      </c>
      <c r="C442" t="s">
        <v>55</v>
      </c>
      <c r="D442" t="s">
        <v>73</v>
      </c>
      <c r="E442" t="s">
        <v>26</v>
      </c>
      <c r="F442" t="s">
        <v>17</v>
      </c>
      <c r="G442" t="str">
        <f>"02"</f>
        <v>02</v>
      </c>
      <c r="H442" t="str">
        <f>"3  "</f>
        <v xml:space="preserve">3  </v>
      </c>
      <c r="I442" t="str">
        <f>"2018/08/17"</f>
        <v>2018/08/17</v>
      </c>
      <c r="J442" t="str">
        <f>"510"</f>
        <v>510</v>
      </c>
      <c r="K442" t="str">
        <f>"20670104"</f>
        <v>20670104</v>
      </c>
      <c r="L442" t="s">
        <v>18</v>
      </c>
      <c r="M442" t="str">
        <f>"20170828"</f>
        <v>20170828</v>
      </c>
    </row>
    <row r="443" spans="1:13" x14ac:dyDescent="0.25">
      <c r="A443" t="str">
        <f>"00456381"</f>
        <v>00456381</v>
      </c>
      <c r="B443" t="s">
        <v>859</v>
      </c>
      <c r="C443" t="s">
        <v>862</v>
      </c>
      <c r="D443" t="s">
        <v>61</v>
      </c>
      <c r="E443" t="s">
        <v>26</v>
      </c>
      <c r="F443" t="s">
        <v>17</v>
      </c>
      <c r="G443" t="str">
        <f>"02"</f>
        <v>02</v>
      </c>
      <c r="H443" t="str">
        <f>"3  "</f>
        <v xml:space="preserve">3  </v>
      </c>
      <c r="I443" t="str">
        <f>"2020/09/16"</f>
        <v>2020/09/16</v>
      </c>
      <c r="J443" t="str">
        <f>"533"</f>
        <v>533</v>
      </c>
      <c r="K443" t="str">
        <f>"20280206"</f>
        <v>20280206</v>
      </c>
      <c r="L443" t="s">
        <v>18</v>
      </c>
      <c r="M443" t="str">
        <f>"20150114"</f>
        <v>20150114</v>
      </c>
    </row>
    <row r="444" spans="1:13" x14ac:dyDescent="0.25">
      <c r="A444" t="str">
        <f>"00323662"</f>
        <v>00323662</v>
      </c>
      <c r="B444" t="s">
        <v>859</v>
      </c>
      <c r="C444" t="s">
        <v>169</v>
      </c>
      <c r="D444" t="s">
        <v>45</v>
      </c>
      <c r="E444" t="s">
        <v>26</v>
      </c>
      <c r="F444" t="s">
        <v>17</v>
      </c>
      <c r="G444" t="str">
        <f>"02"</f>
        <v>02</v>
      </c>
      <c r="H444" t="str">
        <f>"6  "</f>
        <v xml:space="preserve">6  </v>
      </c>
      <c r="I444" t="str">
        <f>"2014/03/24"</f>
        <v>2014/03/24</v>
      </c>
      <c r="J444" t="str">
        <f>"510"</f>
        <v>510</v>
      </c>
      <c r="K444" t="str">
        <f>"20320627"</f>
        <v>20320627</v>
      </c>
      <c r="L444" t="s">
        <v>18</v>
      </c>
      <c r="M444" t="str">
        <f>"20130210"</f>
        <v>20130210</v>
      </c>
    </row>
    <row r="445" spans="1:13" x14ac:dyDescent="0.25">
      <c r="A445" t="str">
        <f>"00772530"</f>
        <v>00772530</v>
      </c>
      <c r="B445" t="s">
        <v>864</v>
      </c>
      <c r="C445" t="s">
        <v>320</v>
      </c>
      <c r="D445" t="s">
        <v>15</v>
      </c>
      <c r="E445" t="s">
        <v>16</v>
      </c>
      <c r="F445" t="s">
        <v>17</v>
      </c>
      <c r="G445" t="str">
        <f>"02"</f>
        <v>02</v>
      </c>
      <c r="H445" t="str">
        <f>"3  "</f>
        <v xml:space="preserve">3  </v>
      </c>
      <c r="I445" t="str">
        <f>"2015/01/14"</f>
        <v>2015/01/14</v>
      </c>
      <c r="J445" t="str">
        <f>"110"</f>
        <v>110</v>
      </c>
      <c r="K445" t="str">
        <f>"20230406"</f>
        <v>20230406</v>
      </c>
      <c r="L445" t="s">
        <v>18</v>
      </c>
      <c r="M445" t="str">
        <f>"20150101"</f>
        <v>20150101</v>
      </c>
    </row>
    <row r="446" spans="1:13" x14ac:dyDescent="0.25">
      <c r="A446" t="str">
        <f>"00207603"</f>
        <v>00207603</v>
      </c>
      <c r="B446" t="s">
        <v>869</v>
      </c>
      <c r="C446" t="s">
        <v>484</v>
      </c>
      <c r="D446" t="s">
        <v>97</v>
      </c>
      <c r="E446" t="s">
        <v>26</v>
      </c>
      <c r="F446" t="s">
        <v>17</v>
      </c>
      <c r="G446" t="str">
        <f>"02"</f>
        <v>02</v>
      </c>
      <c r="H446" t="str">
        <f>"3  "</f>
        <v xml:space="preserve">3  </v>
      </c>
      <c r="I446" t="str">
        <f>"2011/10/19"</f>
        <v>2011/10/19</v>
      </c>
      <c r="J446" t="str">
        <f>"503"</f>
        <v>503</v>
      </c>
      <c r="K446" t="str">
        <f>"20270613"</f>
        <v>20270613</v>
      </c>
      <c r="L446" t="s">
        <v>18</v>
      </c>
      <c r="M446" t="str">
        <f>"20100604"</f>
        <v>20100604</v>
      </c>
    </row>
    <row r="447" spans="1:13" x14ac:dyDescent="0.25">
      <c r="A447" t="str">
        <f>"00214908"</f>
        <v>00214908</v>
      </c>
      <c r="B447" t="s">
        <v>869</v>
      </c>
      <c r="C447" t="s">
        <v>138</v>
      </c>
      <c r="D447" t="s">
        <v>45</v>
      </c>
      <c r="E447" t="s">
        <v>26</v>
      </c>
      <c r="F447" t="s">
        <v>17</v>
      </c>
      <c r="G447" t="str">
        <f>"02"</f>
        <v>02</v>
      </c>
      <c r="H447" t="str">
        <f>"3  "</f>
        <v xml:space="preserve">3  </v>
      </c>
      <c r="I447" t="str">
        <f>"2016/12/23"</f>
        <v>2016/12/23</v>
      </c>
      <c r="J447" t="str">
        <f>"110"</f>
        <v>110</v>
      </c>
      <c r="K447" t="str">
        <f>"20860225"</f>
        <v>20860225</v>
      </c>
      <c r="L447" t="s">
        <v>18</v>
      </c>
      <c r="M447" t="str">
        <f>"20150312"</f>
        <v>20150312</v>
      </c>
    </row>
    <row r="448" spans="1:13" x14ac:dyDescent="0.25">
      <c r="A448" t="str">
        <f>"00467739"</f>
        <v>00467739</v>
      </c>
      <c r="B448" t="s">
        <v>873</v>
      </c>
      <c r="C448" t="s">
        <v>150</v>
      </c>
      <c r="D448" t="s">
        <v>53</v>
      </c>
      <c r="E448" t="s">
        <v>16</v>
      </c>
      <c r="F448" t="s">
        <v>17</v>
      </c>
      <c r="G448" t="str">
        <f>"02"</f>
        <v>02</v>
      </c>
      <c r="H448" t="str">
        <f>"3  "</f>
        <v xml:space="preserve">3  </v>
      </c>
      <c r="I448" t="str">
        <f>"2018/09/06"</f>
        <v>2018/09/06</v>
      </c>
      <c r="J448" t="str">
        <f>"503"</f>
        <v>503</v>
      </c>
      <c r="K448" t="str">
        <f>"20270521"</f>
        <v>20270521</v>
      </c>
      <c r="L448" t="s">
        <v>18</v>
      </c>
      <c r="M448" t="str">
        <f>"20180521"</f>
        <v>20180521</v>
      </c>
    </row>
    <row r="449" spans="1:13" x14ac:dyDescent="0.25">
      <c r="A449" t="str">
        <f>"00619549"</f>
        <v>00619549</v>
      </c>
      <c r="B449" t="s">
        <v>874</v>
      </c>
      <c r="C449" t="s">
        <v>875</v>
      </c>
      <c r="D449" t="s">
        <v>80</v>
      </c>
      <c r="E449" t="s">
        <v>26</v>
      </c>
      <c r="F449" t="s">
        <v>17</v>
      </c>
      <c r="G449" t="str">
        <f>"02"</f>
        <v>02</v>
      </c>
      <c r="H449" t="str">
        <f>"3  "</f>
        <v xml:space="preserve">3  </v>
      </c>
      <c r="I449" t="str">
        <f>"2010/03/02"</f>
        <v>2010/03/02</v>
      </c>
      <c r="J449" t="str">
        <f>"510"</f>
        <v>510</v>
      </c>
      <c r="K449" t="str">
        <f>"20341117"</f>
        <v>20341117</v>
      </c>
      <c r="L449" t="s">
        <v>18</v>
      </c>
      <c r="M449" t="str">
        <f>"20080602"</f>
        <v>20080602</v>
      </c>
    </row>
    <row r="450" spans="1:13" x14ac:dyDescent="0.25">
      <c r="A450" t="str">
        <f>"00214385"</f>
        <v>00214385</v>
      </c>
      <c r="B450" t="s">
        <v>880</v>
      </c>
      <c r="C450" t="s">
        <v>96</v>
      </c>
      <c r="D450" t="s">
        <v>80</v>
      </c>
      <c r="E450" t="s">
        <v>16</v>
      </c>
      <c r="F450" t="s">
        <v>17</v>
      </c>
      <c r="G450" t="str">
        <f>"02"</f>
        <v>02</v>
      </c>
      <c r="H450" t="str">
        <f>"3  "</f>
        <v xml:space="preserve">3  </v>
      </c>
      <c r="I450" t="str">
        <f>"2017/06/19"</f>
        <v>2017/06/19</v>
      </c>
      <c r="J450" t="str">
        <f>"110"</f>
        <v>110</v>
      </c>
      <c r="K450" t="str">
        <f>"20210921"</f>
        <v>20210921</v>
      </c>
      <c r="L450" t="s">
        <v>18</v>
      </c>
      <c r="M450" t="str">
        <f>"20170612"</f>
        <v>20170612</v>
      </c>
    </row>
    <row r="451" spans="1:13" x14ac:dyDescent="0.25">
      <c r="A451" t="str">
        <f>"00299082"</f>
        <v>00299082</v>
      </c>
      <c r="B451" t="s">
        <v>880</v>
      </c>
      <c r="C451" t="s">
        <v>327</v>
      </c>
      <c r="D451" t="s">
        <v>51</v>
      </c>
      <c r="E451" t="s">
        <v>26</v>
      </c>
      <c r="F451" t="s">
        <v>17</v>
      </c>
      <c r="G451" t="str">
        <f>"02"</f>
        <v>02</v>
      </c>
      <c r="H451" t="str">
        <f>"7  "</f>
        <v xml:space="preserve">7  </v>
      </c>
      <c r="I451" t="str">
        <f>"2006/09/12"</f>
        <v>2006/09/12</v>
      </c>
      <c r="J451" t="str">
        <f>"510"</f>
        <v>510</v>
      </c>
      <c r="K451" t="s">
        <v>18</v>
      </c>
      <c r="L451" t="s">
        <v>18</v>
      </c>
      <c r="M451" t="str">
        <f>"20060602"</f>
        <v>20060602</v>
      </c>
    </row>
    <row r="452" spans="1:13" x14ac:dyDescent="0.25">
      <c r="A452" t="str">
        <f>"00246261"</f>
        <v>00246261</v>
      </c>
      <c r="B452" t="s">
        <v>880</v>
      </c>
      <c r="C452" t="s">
        <v>74</v>
      </c>
      <c r="D452" t="s">
        <v>21</v>
      </c>
      <c r="E452" t="s">
        <v>26</v>
      </c>
      <c r="F452" t="s">
        <v>17</v>
      </c>
      <c r="G452" t="str">
        <f>"02"</f>
        <v>02</v>
      </c>
      <c r="H452" t="str">
        <f>"3  "</f>
        <v xml:space="preserve">3  </v>
      </c>
      <c r="I452" t="str">
        <f>"2019/02/11"</f>
        <v>2019/02/11</v>
      </c>
      <c r="J452" t="str">
        <f>"510"</f>
        <v>510</v>
      </c>
      <c r="K452" t="str">
        <f>"20431129"</f>
        <v>20431129</v>
      </c>
      <c r="L452" t="s">
        <v>18</v>
      </c>
      <c r="M452" t="str">
        <f>"20190115"</f>
        <v>20190115</v>
      </c>
    </row>
    <row r="453" spans="1:13" x14ac:dyDescent="0.25">
      <c r="A453" t="str">
        <f>"00333849"</f>
        <v>00333849</v>
      </c>
      <c r="B453" t="s">
        <v>880</v>
      </c>
      <c r="C453" t="s">
        <v>884</v>
      </c>
      <c r="D453" t="s">
        <v>21</v>
      </c>
      <c r="E453" t="s">
        <v>26</v>
      </c>
      <c r="F453" t="s">
        <v>17</v>
      </c>
      <c r="G453" t="str">
        <f>"02"</f>
        <v>02</v>
      </c>
      <c r="H453" t="str">
        <f>"3  "</f>
        <v xml:space="preserve">3  </v>
      </c>
      <c r="I453" t="str">
        <f>"2015/04/01"</f>
        <v>2015/04/01</v>
      </c>
      <c r="J453" t="str">
        <f>"510"</f>
        <v>510</v>
      </c>
      <c r="K453" t="str">
        <f>"20270912"</f>
        <v>20270912</v>
      </c>
      <c r="L453" t="s">
        <v>18</v>
      </c>
      <c r="M453" t="str">
        <f>"20131016"</f>
        <v>20131016</v>
      </c>
    </row>
    <row r="454" spans="1:13" x14ac:dyDescent="0.25">
      <c r="A454" t="str">
        <f>"00429850"</f>
        <v>00429850</v>
      </c>
      <c r="B454" t="s">
        <v>885</v>
      </c>
      <c r="C454" t="s">
        <v>55</v>
      </c>
      <c r="D454" t="s">
        <v>16</v>
      </c>
      <c r="E454" t="s">
        <v>26</v>
      </c>
      <c r="F454" t="s">
        <v>17</v>
      </c>
      <c r="G454" t="str">
        <f>"02"</f>
        <v>02</v>
      </c>
      <c r="H454" t="str">
        <f>"3  "</f>
        <v xml:space="preserve">3  </v>
      </c>
      <c r="I454" t="str">
        <f>"2020/09/16"</f>
        <v>2020/09/16</v>
      </c>
      <c r="J454" t="str">
        <f>"533"</f>
        <v>533</v>
      </c>
      <c r="K454" t="str">
        <f>"20230212"</f>
        <v>20230212</v>
      </c>
      <c r="L454" t="s">
        <v>18</v>
      </c>
      <c r="M454" t="str">
        <f>"20090519"</f>
        <v>20090519</v>
      </c>
    </row>
    <row r="455" spans="1:13" x14ac:dyDescent="0.25">
      <c r="A455" t="str">
        <f>"00846339"</f>
        <v>00846339</v>
      </c>
      <c r="B455" t="s">
        <v>885</v>
      </c>
      <c r="C455" t="s">
        <v>887</v>
      </c>
      <c r="D455" t="s">
        <v>61</v>
      </c>
      <c r="E455" t="s">
        <v>26</v>
      </c>
      <c r="F455" t="s">
        <v>17</v>
      </c>
      <c r="G455" t="str">
        <f>"02"</f>
        <v>02</v>
      </c>
      <c r="H455" t="str">
        <f>"3  "</f>
        <v xml:space="preserve">3  </v>
      </c>
      <c r="I455" t="str">
        <f>"2017/09/14"</f>
        <v>2017/09/14</v>
      </c>
      <c r="J455" t="str">
        <f>"510"</f>
        <v>510</v>
      </c>
      <c r="K455" t="str">
        <f>"20220304"</f>
        <v>20220304</v>
      </c>
      <c r="L455" t="s">
        <v>18</v>
      </c>
      <c r="M455" t="str">
        <f>"20161027"</f>
        <v>20161027</v>
      </c>
    </row>
    <row r="456" spans="1:13" x14ac:dyDescent="0.25">
      <c r="A456" t="str">
        <f>"00210491"</f>
        <v>00210491</v>
      </c>
      <c r="B456" t="s">
        <v>888</v>
      </c>
      <c r="C456" t="s">
        <v>627</v>
      </c>
      <c r="D456" t="s">
        <v>47</v>
      </c>
      <c r="E456" t="s">
        <v>16</v>
      </c>
      <c r="F456" t="s">
        <v>17</v>
      </c>
      <c r="G456" t="str">
        <f>"02"</f>
        <v>02</v>
      </c>
      <c r="H456" t="str">
        <f>"7  "</f>
        <v xml:space="preserve">7  </v>
      </c>
      <c r="I456" t="str">
        <f>"2000/05/31"</f>
        <v>2000/05/31</v>
      </c>
      <c r="J456" t="str">
        <f>"114"</f>
        <v>114</v>
      </c>
      <c r="K456" t="s">
        <v>18</v>
      </c>
      <c r="L456" t="s">
        <v>18</v>
      </c>
      <c r="M456" t="str">
        <f>"19990521"</f>
        <v>19990521</v>
      </c>
    </row>
    <row r="457" spans="1:13" x14ac:dyDescent="0.25">
      <c r="A457" t="str">
        <f>"00634319"</f>
        <v>00634319</v>
      </c>
      <c r="B457" t="s">
        <v>892</v>
      </c>
      <c r="C457" t="s">
        <v>115</v>
      </c>
      <c r="D457" t="s">
        <v>25</v>
      </c>
      <c r="E457" t="s">
        <v>26</v>
      </c>
      <c r="F457" t="s">
        <v>17</v>
      </c>
      <c r="G457" t="str">
        <f>"02"</f>
        <v>02</v>
      </c>
      <c r="H457" t="str">
        <f>"3  "</f>
        <v xml:space="preserve">3  </v>
      </c>
      <c r="I457" t="str">
        <f>"2019/04/26"</f>
        <v>2019/04/26</v>
      </c>
      <c r="J457" t="str">
        <f>"510"</f>
        <v>510</v>
      </c>
      <c r="K457" t="str">
        <f>"20230830"</f>
        <v>20230830</v>
      </c>
      <c r="L457" t="s">
        <v>18</v>
      </c>
      <c r="M457" t="str">
        <f>"20190215"</f>
        <v>20190215</v>
      </c>
    </row>
    <row r="458" spans="1:13" x14ac:dyDescent="0.25">
      <c r="A458" t="str">
        <f>"00172097"</f>
        <v>00172097</v>
      </c>
      <c r="B458" t="s">
        <v>892</v>
      </c>
      <c r="C458" t="s">
        <v>785</v>
      </c>
      <c r="D458" t="s">
        <v>40</v>
      </c>
      <c r="E458" t="s">
        <v>26</v>
      </c>
      <c r="F458" t="s">
        <v>17</v>
      </c>
      <c r="G458" t="str">
        <f>"02"</f>
        <v>02</v>
      </c>
      <c r="H458" t="str">
        <f>"3  "</f>
        <v xml:space="preserve">3  </v>
      </c>
      <c r="I458" t="str">
        <f>"2018/07/12"</f>
        <v>2018/07/12</v>
      </c>
      <c r="J458" t="str">
        <f>"510"</f>
        <v>510</v>
      </c>
      <c r="K458" t="str">
        <f>"20210326"</f>
        <v>20210326</v>
      </c>
      <c r="L458" t="s">
        <v>18</v>
      </c>
      <c r="M458" t="str">
        <f>"20171025"</f>
        <v>20171025</v>
      </c>
    </row>
    <row r="459" spans="1:13" x14ac:dyDescent="0.25">
      <c r="A459" t="str">
        <f>"00136018"</f>
        <v>00136018</v>
      </c>
      <c r="B459" t="s">
        <v>894</v>
      </c>
      <c r="C459" t="s">
        <v>426</v>
      </c>
      <c r="D459" t="s">
        <v>25</v>
      </c>
      <c r="E459" t="s">
        <v>26</v>
      </c>
      <c r="F459" t="s">
        <v>17</v>
      </c>
      <c r="G459" t="str">
        <f>"02"</f>
        <v>02</v>
      </c>
      <c r="H459" t="str">
        <f>"3  "</f>
        <v xml:space="preserve">3  </v>
      </c>
      <c r="I459" t="str">
        <f>"2013/04/18"</f>
        <v>2013/04/18</v>
      </c>
      <c r="J459" t="str">
        <f>"110"</f>
        <v>110</v>
      </c>
      <c r="K459" t="str">
        <f>"20250919"</f>
        <v>20250919</v>
      </c>
      <c r="L459" t="s">
        <v>18</v>
      </c>
      <c r="M459" t="str">
        <f>"20121114"</f>
        <v>20121114</v>
      </c>
    </row>
    <row r="460" spans="1:13" x14ac:dyDescent="0.25">
      <c r="A460" t="str">
        <f>"00491827"</f>
        <v>00491827</v>
      </c>
      <c r="B460" t="s">
        <v>896</v>
      </c>
      <c r="C460" t="s">
        <v>897</v>
      </c>
      <c r="D460" t="s">
        <v>215</v>
      </c>
      <c r="E460" t="s">
        <v>26</v>
      </c>
      <c r="F460" t="s">
        <v>17</v>
      </c>
      <c r="G460" t="str">
        <f>"02"</f>
        <v>02</v>
      </c>
      <c r="H460" t="str">
        <f>"3  "</f>
        <v xml:space="preserve">3  </v>
      </c>
      <c r="I460" t="str">
        <f>"2017/09/28"</f>
        <v>2017/09/28</v>
      </c>
      <c r="J460" t="str">
        <f>"510"</f>
        <v>510</v>
      </c>
      <c r="K460" t="str">
        <f>"20611019"</f>
        <v>20611019</v>
      </c>
      <c r="L460" t="s">
        <v>18</v>
      </c>
      <c r="M460" t="str">
        <f>"20160915"</f>
        <v>20160915</v>
      </c>
    </row>
    <row r="461" spans="1:13" x14ac:dyDescent="0.25">
      <c r="A461" t="str">
        <f>"00669095"</f>
        <v>00669095</v>
      </c>
      <c r="B461" t="s">
        <v>907</v>
      </c>
      <c r="C461" t="s">
        <v>288</v>
      </c>
      <c r="D461" t="s">
        <v>37</v>
      </c>
      <c r="E461" t="s">
        <v>26</v>
      </c>
      <c r="F461" t="s">
        <v>17</v>
      </c>
      <c r="G461" t="str">
        <f>"02"</f>
        <v>02</v>
      </c>
      <c r="H461" t="str">
        <f>"3  "</f>
        <v xml:space="preserve">3  </v>
      </c>
      <c r="I461" t="str">
        <f>"2016/03/11"</f>
        <v>2016/03/11</v>
      </c>
      <c r="J461" t="str">
        <f>"510"</f>
        <v>510</v>
      </c>
      <c r="K461" t="str">
        <f>"20201109"</f>
        <v>20201109</v>
      </c>
      <c r="L461" t="s">
        <v>18</v>
      </c>
      <c r="M461" t="str">
        <f>"20131008"</f>
        <v>20131008</v>
      </c>
    </row>
    <row r="462" spans="1:13" x14ac:dyDescent="0.25">
      <c r="A462" t="str">
        <f>"00721846"</f>
        <v>00721846</v>
      </c>
      <c r="B462" t="s">
        <v>910</v>
      </c>
      <c r="C462" t="s">
        <v>911</v>
      </c>
      <c r="D462" t="s">
        <v>37</v>
      </c>
      <c r="E462" t="s">
        <v>26</v>
      </c>
      <c r="F462" t="s">
        <v>17</v>
      </c>
      <c r="G462" t="str">
        <f>"02"</f>
        <v>02</v>
      </c>
      <c r="H462" t="str">
        <f>"3  "</f>
        <v xml:space="preserve">3  </v>
      </c>
      <c r="I462" t="str">
        <f>"2018/11/26"</f>
        <v>2018/11/26</v>
      </c>
      <c r="J462" t="str">
        <f>"110"</f>
        <v>110</v>
      </c>
      <c r="K462" t="str">
        <f>"20210915"</f>
        <v>20210915</v>
      </c>
      <c r="L462" t="s">
        <v>18</v>
      </c>
      <c r="M462" t="str">
        <f>"20180320"</f>
        <v>20180320</v>
      </c>
    </row>
    <row r="463" spans="1:13" x14ac:dyDescent="0.25">
      <c r="A463" t="str">
        <f>"00226006"</f>
        <v>00226006</v>
      </c>
      <c r="B463" t="s">
        <v>917</v>
      </c>
      <c r="C463" t="s">
        <v>74</v>
      </c>
      <c r="D463" t="s">
        <v>21</v>
      </c>
      <c r="E463" t="s">
        <v>16</v>
      </c>
      <c r="F463" t="s">
        <v>17</v>
      </c>
      <c r="G463" t="str">
        <f>"02"</f>
        <v>02</v>
      </c>
      <c r="H463" t="str">
        <f>"7  "</f>
        <v xml:space="preserve">7  </v>
      </c>
      <c r="I463" t="str">
        <f>"2002/05/30"</f>
        <v>2002/05/30</v>
      </c>
      <c r="J463" t="str">
        <f>"510"</f>
        <v>510</v>
      </c>
      <c r="K463" t="s">
        <v>18</v>
      </c>
      <c r="L463" t="s">
        <v>18</v>
      </c>
      <c r="M463" t="str">
        <f>"20000228"</f>
        <v>20000228</v>
      </c>
    </row>
    <row r="464" spans="1:13" x14ac:dyDescent="0.25">
      <c r="A464" t="str">
        <f>"00262267"</f>
        <v>00262267</v>
      </c>
      <c r="B464" t="s">
        <v>918</v>
      </c>
      <c r="C464" t="s">
        <v>136</v>
      </c>
      <c r="D464" t="s">
        <v>51</v>
      </c>
      <c r="E464" t="s">
        <v>16</v>
      </c>
      <c r="F464" t="s">
        <v>17</v>
      </c>
      <c r="G464" t="str">
        <f>"02"</f>
        <v>02</v>
      </c>
      <c r="H464" t="str">
        <f>"3  "</f>
        <v xml:space="preserve">3  </v>
      </c>
      <c r="I464" t="str">
        <f>"2012/10/09"</f>
        <v>2012/10/09</v>
      </c>
      <c r="J464" t="str">
        <f>"534"</f>
        <v>534</v>
      </c>
      <c r="K464" t="str">
        <f>"20210421"</f>
        <v>20210421</v>
      </c>
      <c r="L464" t="s">
        <v>18</v>
      </c>
      <c r="M464" t="str">
        <f>"20091221"</f>
        <v>20091221</v>
      </c>
    </row>
    <row r="465" spans="1:13" x14ac:dyDescent="0.25">
      <c r="A465" t="str">
        <f>"00579051"</f>
        <v>00579051</v>
      </c>
      <c r="B465" t="s">
        <v>919</v>
      </c>
      <c r="C465" t="s">
        <v>920</v>
      </c>
      <c r="D465" t="s">
        <v>31</v>
      </c>
      <c r="E465" t="s">
        <v>26</v>
      </c>
      <c r="F465" t="s">
        <v>17</v>
      </c>
      <c r="G465" t="str">
        <f>"02"</f>
        <v>02</v>
      </c>
      <c r="H465" t="str">
        <f>"3  "</f>
        <v xml:space="preserve">3  </v>
      </c>
      <c r="I465" t="str">
        <f>"2008/11/25"</f>
        <v>2008/11/25</v>
      </c>
      <c r="J465" t="str">
        <f>"534"</f>
        <v>534</v>
      </c>
      <c r="K465" t="str">
        <f>"20240918"</f>
        <v>20240918</v>
      </c>
      <c r="L465" t="s">
        <v>18</v>
      </c>
      <c r="M465" t="str">
        <f>"20061115"</f>
        <v>20061115</v>
      </c>
    </row>
    <row r="466" spans="1:13" x14ac:dyDescent="0.25">
      <c r="A466" t="str">
        <f>"00502725"</f>
        <v>00502725</v>
      </c>
      <c r="B466" t="s">
        <v>925</v>
      </c>
      <c r="C466" t="s">
        <v>59</v>
      </c>
      <c r="D466" t="s">
        <v>45</v>
      </c>
      <c r="E466" t="s">
        <v>26</v>
      </c>
      <c r="F466" t="s">
        <v>17</v>
      </c>
      <c r="G466" t="str">
        <f>"02"</f>
        <v>02</v>
      </c>
      <c r="H466" t="str">
        <f>"3  "</f>
        <v xml:space="preserve">3  </v>
      </c>
      <c r="I466" t="str">
        <f>"2014/11/17"</f>
        <v>2014/11/17</v>
      </c>
      <c r="J466" t="str">
        <f>"510"</f>
        <v>510</v>
      </c>
      <c r="K466" t="str">
        <f>"20230315"</f>
        <v>20230315</v>
      </c>
      <c r="L466" t="s">
        <v>18</v>
      </c>
      <c r="M466" t="str">
        <f>"20121021"</f>
        <v>20121021</v>
      </c>
    </row>
    <row r="467" spans="1:13" x14ac:dyDescent="0.25">
      <c r="A467" t="str">
        <f>"00378566"</f>
        <v>00378566</v>
      </c>
      <c r="B467" t="s">
        <v>927</v>
      </c>
      <c r="C467" t="s">
        <v>437</v>
      </c>
      <c r="D467" t="s">
        <v>51</v>
      </c>
      <c r="E467" t="s">
        <v>26</v>
      </c>
      <c r="F467" t="s">
        <v>17</v>
      </c>
      <c r="G467" t="str">
        <f>"02"</f>
        <v>02</v>
      </c>
      <c r="H467" t="str">
        <f>"3  "</f>
        <v xml:space="preserve">3  </v>
      </c>
      <c r="I467" t="str">
        <f>"2019/08/16"</f>
        <v>2019/08/16</v>
      </c>
      <c r="J467" t="str">
        <f>"503"</f>
        <v>503</v>
      </c>
      <c r="K467" t="str">
        <f>"20280418"</f>
        <v>20280418</v>
      </c>
      <c r="L467" t="s">
        <v>18</v>
      </c>
      <c r="M467" t="str">
        <f>"20190418"</f>
        <v>20190418</v>
      </c>
    </row>
    <row r="468" spans="1:13" x14ac:dyDescent="0.25">
      <c r="A468" t="str">
        <f>"00682056"</f>
        <v>00682056</v>
      </c>
      <c r="B468" t="s">
        <v>927</v>
      </c>
      <c r="C468" t="s">
        <v>74</v>
      </c>
      <c r="D468" t="s">
        <v>51</v>
      </c>
      <c r="E468" t="s">
        <v>26</v>
      </c>
      <c r="F468" t="s">
        <v>17</v>
      </c>
      <c r="G468" t="str">
        <f>"02"</f>
        <v>02</v>
      </c>
      <c r="H468" t="str">
        <f>"3  "</f>
        <v xml:space="preserve">3  </v>
      </c>
      <c r="I468" t="str">
        <f>"2012/08/06"</f>
        <v>2012/08/06</v>
      </c>
      <c r="J468" t="str">
        <f>"510"</f>
        <v>510</v>
      </c>
      <c r="K468" t="str">
        <f>"20300227"</f>
        <v>20300227</v>
      </c>
      <c r="L468" t="s">
        <v>18</v>
      </c>
      <c r="M468" t="str">
        <f>"20110110"</f>
        <v>20110110</v>
      </c>
    </row>
    <row r="469" spans="1:13" x14ac:dyDescent="0.25">
      <c r="A469" t="str">
        <f>"00530762"</f>
        <v>00530762</v>
      </c>
      <c r="B469" t="s">
        <v>932</v>
      </c>
      <c r="C469" t="s">
        <v>398</v>
      </c>
      <c r="D469" t="s">
        <v>51</v>
      </c>
      <c r="E469" t="s">
        <v>26</v>
      </c>
      <c r="F469" t="s">
        <v>17</v>
      </c>
      <c r="G469" t="str">
        <f>"02"</f>
        <v>02</v>
      </c>
      <c r="H469" t="str">
        <f>"3  "</f>
        <v xml:space="preserve">3  </v>
      </c>
      <c r="I469" t="str">
        <f>"2020/04/03"</f>
        <v>2020/04/03</v>
      </c>
      <c r="J469" t="str">
        <f>"510"</f>
        <v>510</v>
      </c>
      <c r="K469" t="str">
        <f>"20400721"</f>
        <v>20400721</v>
      </c>
      <c r="L469" t="s">
        <v>18</v>
      </c>
      <c r="M469" t="str">
        <f>"20181227"</f>
        <v>20181227</v>
      </c>
    </row>
    <row r="470" spans="1:13" x14ac:dyDescent="0.25">
      <c r="A470" t="str">
        <f>"00781304"</f>
        <v>00781304</v>
      </c>
      <c r="B470" t="s">
        <v>933</v>
      </c>
      <c r="C470" t="s">
        <v>934</v>
      </c>
      <c r="D470" t="s">
        <v>25</v>
      </c>
      <c r="E470" t="s">
        <v>26</v>
      </c>
      <c r="F470" t="s">
        <v>17</v>
      </c>
      <c r="G470" t="str">
        <f>"02"</f>
        <v>02</v>
      </c>
      <c r="H470" t="str">
        <f>"3  "</f>
        <v xml:space="preserve">3  </v>
      </c>
      <c r="I470" t="str">
        <f>"2016/12/01"</f>
        <v>2016/12/01</v>
      </c>
      <c r="J470" t="str">
        <f>"510"</f>
        <v>510</v>
      </c>
      <c r="K470" t="str">
        <f>"20350526"</f>
        <v>20350526</v>
      </c>
      <c r="L470" t="s">
        <v>18</v>
      </c>
      <c r="M470" t="str">
        <f>"20141204"</f>
        <v>20141204</v>
      </c>
    </row>
    <row r="471" spans="1:13" x14ac:dyDescent="0.25">
      <c r="A471" t="str">
        <f>"00281010"</f>
        <v>00281010</v>
      </c>
      <c r="B471" t="s">
        <v>935</v>
      </c>
      <c r="C471" t="s">
        <v>48</v>
      </c>
      <c r="D471" t="s">
        <v>61</v>
      </c>
      <c r="E471" t="s">
        <v>26</v>
      </c>
      <c r="F471" t="s">
        <v>17</v>
      </c>
      <c r="G471" t="str">
        <f>"02"</f>
        <v>02</v>
      </c>
      <c r="H471" t="str">
        <f>"3  "</f>
        <v xml:space="preserve">3  </v>
      </c>
      <c r="I471" t="str">
        <f>"2020/09/02"</f>
        <v>2020/09/02</v>
      </c>
      <c r="J471" t="str">
        <f>"533"</f>
        <v>533</v>
      </c>
      <c r="K471" t="str">
        <f>"20271103"</f>
        <v>20271103</v>
      </c>
      <c r="L471" t="s">
        <v>18</v>
      </c>
      <c r="M471" t="str">
        <f>"20130825"</f>
        <v>20130825</v>
      </c>
    </row>
    <row r="472" spans="1:13" x14ac:dyDescent="0.25">
      <c r="A472" t="str">
        <f>"00399789"</f>
        <v>00399789</v>
      </c>
      <c r="B472" t="s">
        <v>935</v>
      </c>
      <c r="C472" t="s">
        <v>772</v>
      </c>
      <c r="D472" t="s">
        <v>25</v>
      </c>
      <c r="E472" t="s">
        <v>26</v>
      </c>
      <c r="F472" t="s">
        <v>17</v>
      </c>
      <c r="G472" t="str">
        <f>"02"</f>
        <v>02</v>
      </c>
      <c r="H472" t="str">
        <f>"3  "</f>
        <v xml:space="preserve">3  </v>
      </c>
      <c r="I472" t="str">
        <f>"2014/12/12"</f>
        <v>2014/12/12</v>
      </c>
      <c r="J472" t="str">
        <f>"510"</f>
        <v>510</v>
      </c>
      <c r="K472" t="str">
        <f>"20240426"</f>
        <v>20240426</v>
      </c>
      <c r="L472" t="s">
        <v>18</v>
      </c>
      <c r="M472" t="str">
        <f>"20120308"</f>
        <v>20120308</v>
      </c>
    </row>
    <row r="473" spans="1:13" x14ac:dyDescent="0.25">
      <c r="A473" t="str">
        <f>"00529551"</f>
        <v>00529551</v>
      </c>
      <c r="B473" t="s">
        <v>935</v>
      </c>
      <c r="C473" t="s">
        <v>96</v>
      </c>
      <c r="D473" t="s">
        <v>53</v>
      </c>
      <c r="E473" t="s">
        <v>16</v>
      </c>
      <c r="F473" t="s">
        <v>17</v>
      </c>
      <c r="G473" t="str">
        <f>"02"</f>
        <v>02</v>
      </c>
      <c r="H473" t="str">
        <f>"3  "</f>
        <v xml:space="preserve">3  </v>
      </c>
      <c r="I473" t="str">
        <f>"2020/07/21"</f>
        <v>2020/07/21</v>
      </c>
      <c r="J473" t="str">
        <f>"533"</f>
        <v>533</v>
      </c>
      <c r="K473" t="str">
        <f>"20950911"</f>
        <v>20950911</v>
      </c>
      <c r="L473" t="s">
        <v>18</v>
      </c>
      <c r="M473" t="str">
        <f>"20050514"</f>
        <v>20050514</v>
      </c>
    </row>
    <row r="474" spans="1:13" x14ac:dyDescent="0.25">
      <c r="A474" t="str">
        <f>"00167463"</f>
        <v>00167463</v>
      </c>
      <c r="B474" t="s">
        <v>935</v>
      </c>
      <c r="C474" t="s">
        <v>938</v>
      </c>
      <c r="D474" t="s">
        <v>45</v>
      </c>
      <c r="E474" t="s">
        <v>26</v>
      </c>
      <c r="F474" t="s">
        <v>17</v>
      </c>
      <c r="G474" t="str">
        <f>"02"</f>
        <v>02</v>
      </c>
      <c r="H474" t="str">
        <f>"6  "</f>
        <v xml:space="preserve">6  </v>
      </c>
      <c r="I474" t="str">
        <f>"2020/03/06"</f>
        <v>2020/03/06</v>
      </c>
      <c r="J474" t="str">
        <f>"510"</f>
        <v>510</v>
      </c>
      <c r="K474" t="s">
        <v>18</v>
      </c>
      <c r="L474" t="s">
        <v>18</v>
      </c>
      <c r="M474" t="str">
        <f>"20191130"</f>
        <v>20191130</v>
      </c>
    </row>
    <row r="475" spans="1:13" x14ac:dyDescent="0.25">
      <c r="A475" t="str">
        <f>"00256662"</f>
        <v>00256662</v>
      </c>
      <c r="B475" t="s">
        <v>935</v>
      </c>
      <c r="C475" t="s">
        <v>346</v>
      </c>
      <c r="D475" t="s">
        <v>40</v>
      </c>
      <c r="E475" t="s">
        <v>26</v>
      </c>
      <c r="F475" t="s">
        <v>17</v>
      </c>
      <c r="G475" t="str">
        <f>"02"</f>
        <v>02</v>
      </c>
      <c r="H475" t="str">
        <f>"3  "</f>
        <v xml:space="preserve">3  </v>
      </c>
      <c r="I475" t="str">
        <f>"2020/09/16"</f>
        <v>2020/09/16</v>
      </c>
      <c r="J475" t="str">
        <f>"533"</f>
        <v>533</v>
      </c>
      <c r="K475" t="str">
        <f>"20540309"</f>
        <v>20540309</v>
      </c>
      <c r="L475" t="s">
        <v>18</v>
      </c>
      <c r="M475" t="str">
        <f>"20121011"</f>
        <v>20121011</v>
      </c>
    </row>
    <row r="476" spans="1:13" x14ac:dyDescent="0.25">
      <c r="A476" t="str">
        <f>"00417202"</f>
        <v>00417202</v>
      </c>
      <c r="B476" t="s">
        <v>935</v>
      </c>
      <c r="C476" t="s">
        <v>939</v>
      </c>
      <c r="D476" t="s">
        <v>45</v>
      </c>
      <c r="E476" t="s">
        <v>26</v>
      </c>
      <c r="F476" t="s">
        <v>17</v>
      </c>
      <c r="G476" t="str">
        <f>"02"</f>
        <v>02</v>
      </c>
      <c r="H476" t="str">
        <f>"3  "</f>
        <v xml:space="preserve">3  </v>
      </c>
      <c r="I476" t="str">
        <f>"2015/10/29"</f>
        <v>2015/10/29</v>
      </c>
      <c r="J476" t="str">
        <f>"110"</f>
        <v>110</v>
      </c>
      <c r="K476" t="str">
        <f>"20291217"</f>
        <v>20291217</v>
      </c>
      <c r="L476" t="s">
        <v>18</v>
      </c>
      <c r="M476" t="str">
        <f>"20100825"</f>
        <v>20100825</v>
      </c>
    </row>
    <row r="477" spans="1:13" x14ac:dyDescent="0.25">
      <c r="A477" t="str">
        <f>"00709893"</f>
        <v>00709893</v>
      </c>
      <c r="B477" t="s">
        <v>935</v>
      </c>
      <c r="C477" t="s">
        <v>943</v>
      </c>
      <c r="D477" t="s">
        <v>25</v>
      </c>
      <c r="E477" t="s">
        <v>26</v>
      </c>
      <c r="F477" t="s">
        <v>17</v>
      </c>
      <c r="G477" t="str">
        <f>"02"</f>
        <v>02</v>
      </c>
      <c r="H477" t="str">
        <f>"3  "</f>
        <v xml:space="preserve">3  </v>
      </c>
      <c r="I477" t="str">
        <f>"2018/06/29"</f>
        <v>2018/06/29</v>
      </c>
      <c r="J477" t="str">
        <f>"503"</f>
        <v>503</v>
      </c>
      <c r="K477" t="str">
        <f>"20220210"</f>
        <v>20220210</v>
      </c>
      <c r="L477" t="s">
        <v>18</v>
      </c>
      <c r="M477" t="str">
        <f>"20170906"</f>
        <v>20170906</v>
      </c>
    </row>
    <row r="478" spans="1:13" x14ac:dyDescent="0.25">
      <c r="A478" t="str">
        <f>"00280350"</f>
        <v>00280350</v>
      </c>
      <c r="B478" t="s">
        <v>935</v>
      </c>
      <c r="C478" t="s">
        <v>944</v>
      </c>
      <c r="D478" t="s">
        <v>25</v>
      </c>
      <c r="E478" t="s">
        <v>26</v>
      </c>
      <c r="F478" t="s">
        <v>17</v>
      </c>
      <c r="G478" t="str">
        <f>"02"</f>
        <v>02</v>
      </c>
      <c r="H478" t="str">
        <f>"3  "</f>
        <v xml:space="preserve">3  </v>
      </c>
      <c r="I478" t="str">
        <f>"2014/06/12"</f>
        <v>2014/06/12</v>
      </c>
      <c r="J478" t="str">
        <f>"110"</f>
        <v>110</v>
      </c>
      <c r="K478" t="str">
        <f>"20250429"</f>
        <v>20250429</v>
      </c>
      <c r="L478" t="s">
        <v>18</v>
      </c>
      <c r="M478" t="str">
        <f>"20140111"</f>
        <v>20140111</v>
      </c>
    </row>
    <row r="479" spans="1:13" x14ac:dyDescent="0.25">
      <c r="A479" t="str">
        <f>"00459412"</f>
        <v>00459412</v>
      </c>
      <c r="B479" t="s">
        <v>948</v>
      </c>
      <c r="C479" t="s">
        <v>140</v>
      </c>
      <c r="D479" t="s">
        <v>25</v>
      </c>
      <c r="E479" t="s">
        <v>26</v>
      </c>
      <c r="F479" t="s">
        <v>17</v>
      </c>
      <c r="G479" t="str">
        <f>"02"</f>
        <v>02</v>
      </c>
      <c r="H479" t="str">
        <f>"3  "</f>
        <v xml:space="preserve">3  </v>
      </c>
      <c r="I479" t="str">
        <f>"2016/01/22"</f>
        <v>2016/01/22</v>
      </c>
      <c r="J479" t="str">
        <f>"503"</f>
        <v>503</v>
      </c>
      <c r="K479" t="str">
        <f>"20501127"</f>
        <v>20501127</v>
      </c>
      <c r="L479" t="s">
        <v>18</v>
      </c>
      <c r="M479" t="str">
        <f>"20140808"</f>
        <v>20140808</v>
      </c>
    </row>
    <row r="480" spans="1:13" x14ac:dyDescent="0.25">
      <c r="A480" t="str">
        <f>"00333438"</f>
        <v>00333438</v>
      </c>
      <c r="B480" t="s">
        <v>949</v>
      </c>
      <c r="C480" t="s">
        <v>136</v>
      </c>
      <c r="D480" t="s">
        <v>456</v>
      </c>
      <c r="E480" t="s">
        <v>26</v>
      </c>
      <c r="F480" t="s">
        <v>17</v>
      </c>
      <c r="G480" t="str">
        <f>"02"</f>
        <v>02</v>
      </c>
      <c r="H480" t="str">
        <f>"3  "</f>
        <v xml:space="preserve">3  </v>
      </c>
      <c r="I480" t="str">
        <f>"2005/09/27"</f>
        <v>2005/09/27</v>
      </c>
      <c r="J480" t="str">
        <f>"510"</f>
        <v>510</v>
      </c>
      <c r="K480" t="str">
        <f>"20230729"</f>
        <v>20230729</v>
      </c>
      <c r="L480" t="s">
        <v>18</v>
      </c>
      <c r="M480" t="str">
        <f>"20040713"</f>
        <v>20040713</v>
      </c>
    </row>
    <row r="481" spans="1:13" x14ac:dyDescent="0.25">
      <c r="A481" t="str">
        <f>"00513699"</f>
        <v>00513699</v>
      </c>
      <c r="B481" t="s">
        <v>949</v>
      </c>
      <c r="C481" t="s">
        <v>122</v>
      </c>
      <c r="D481" t="s">
        <v>80</v>
      </c>
      <c r="E481" t="s">
        <v>26</v>
      </c>
      <c r="F481" t="s">
        <v>17</v>
      </c>
      <c r="G481" t="str">
        <f>"02"</f>
        <v>02</v>
      </c>
      <c r="H481" t="str">
        <f>"3  "</f>
        <v xml:space="preserve">3  </v>
      </c>
      <c r="I481" t="str">
        <f>"2012/07/02"</f>
        <v>2012/07/02</v>
      </c>
      <c r="J481" t="str">
        <f>"110"</f>
        <v>110</v>
      </c>
      <c r="K481" t="str">
        <f>"20231220"</f>
        <v>20231220</v>
      </c>
      <c r="L481" t="s">
        <v>18</v>
      </c>
      <c r="M481" t="str">
        <f>"20110605"</f>
        <v>20110605</v>
      </c>
    </row>
    <row r="482" spans="1:13" x14ac:dyDescent="0.25">
      <c r="A482" t="str">
        <f>"00635576"</f>
        <v>00635576</v>
      </c>
      <c r="B482" t="s">
        <v>950</v>
      </c>
      <c r="C482" t="s">
        <v>404</v>
      </c>
      <c r="D482" t="s">
        <v>37</v>
      </c>
      <c r="E482" t="s">
        <v>16</v>
      </c>
      <c r="F482" t="s">
        <v>17</v>
      </c>
      <c r="G482" t="str">
        <f>"02"</f>
        <v>02</v>
      </c>
      <c r="H482" t="str">
        <f>"3  "</f>
        <v xml:space="preserve">3  </v>
      </c>
      <c r="I482" t="str">
        <f>"2019/05/10"</f>
        <v>2019/05/10</v>
      </c>
      <c r="J482" t="str">
        <f>"510"</f>
        <v>510</v>
      </c>
      <c r="K482" t="str">
        <f>"20201201"</f>
        <v>20201201</v>
      </c>
      <c r="L482" t="s">
        <v>18</v>
      </c>
      <c r="M482" t="str">
        <f>"20190317"</f>
        <v>20190317</v>
      </c>
    </row>
    <row r="483" spans="1:13" x14ac:dyDescent="0.25">
      <c r="A483" t="str">
        <f>"00361539"</f>
        <v>00361539</v>
      </c>
      <c r="B483" t="s">
        <v>956</v>
      </c>
      <c r="C483" t="s">
        <v>55</v>
      </c>
      <c r="D483" t="s">
        <v>45</v>
      </c>
      <c r="E483" t="s">
        <v>16</v>
      </c>
      <c r="F483" t="s">
        <v>17</v>
      </c>
      <c r="G483" t="str">
        <f>"02"</f>
        <v>02</v>
      </c>
      <c r="H483" t="str">
        <f>"3  "</f>
        <v xml:space="preserve">3  </v>
      </c>
      <c r="I483" t="str">
        <f>"2017/05/16"</f>
        <v>2017/05/16</v>
      </c>
      <c r="J483" t="str">
        <f>"510"</f>
        <v>510</v>
      </c>
      <c r="K483" t="str">
        <f>"20381003"</f>
        <v>20381003</v>
      </c>
      <c r="L483" t="s">
        <v>18</v>
      </c>
      <c r="M483" t="str">
        <f>"20160407"</f>
        <v>20160407</v>
      </c>
    </row>
    <row r="484" spans="1:13" x14ac:dyDescent="0.25">
      <c r="A484" t="str">
        <f>"00461355"</f>
        <v>00461355</v>
      </c>
      <c r="B484" t="s">
        <v>957</v>
      </c>
      <c r="C484" t="s">
        <v>96</v>
      </c>
      <c r="D484" t="s">
        <v>47</v>
      </c>
      <c r="E484" t="s">
        <v>16</v>
      </c>
      <c r="F484" t="s">
        <v>17</v>
      </c>
      <c r="G484" t="str">
        <f>"02"</f>
        <v>02</v>
      </c>
      <c r="H484" t="str">
        <f>"3  "</f>
        <v xml:space="preserve">3  </v>
      </c>
      <c r="I484" t="str">
        <f>"2002/02/14"</f>
        <v>2002/02/14</v>
      </c>
      <c r="J484" t="str">
        <f>"114"</f>
        <v>114</v>
      </c>
      <c r="K484" t="str">
        <f>"20230417"</f>
        <v>20230417</v>
      </c>
      <c r="L484" t="s">
        <v>18</v>
      </c>
      <c r="M484" t="str">
        <f>"20010608"</f>
        <v>20010608</v>
      </c>
    </row>
    <row r="485" spans="1:13" x14ac:dyDescent="0.25">
      <c r="A485" t="str">
        <f>"00593467"</f>
        <v>00593467</v>
      </c>
      <c r="B485" t="s">
        <v>958</v>
      </c>
      <c r="C485" t="s">
        <v>959</v>
      </c>
      <c r="D485" t="s">
        <v>142</v>
      </c>
      <c r="E485" t="s">
        <v>26</v>
      </c>
      <c r="F485" t="s">
        <v>17</v>
      </c>
      <c r="G485" t="str">
        <f>"02"</f>
        <v>02</v>
      </c>
      <c r="H485" t="str">
        <f>"3  "</f>
        <v xml:space="preserve">3  </v>
      </c>
      <c r="I485" t="str">
        <f>"2020/08/18"</f>
        <v>2020/08/18</v>
      </c>
      <c r="J485" t="str">
        <f>"510"</f>
        <v>510</v>
      </c>
      <c r="K485" t="str">
        <f>"20230531"</f>
        <v>20230531</v>
      </c>
      <c r="L485" t="s">
        <v>18</v>
      </c>
      <c r="M485" t="str">
        <f>"20140709"</f>
        <v>20140709</v>
      </c>
    </row>
    <row r="486" spans="1:13" x14ac:dyDescent="0.25">
      <c r="A486" t="str">
        <f>"00158521"</f>
        <v>00158521</v>
      </c>
      <c r="B486" t="s">
        <v>958</v>
      </c>
      <c r="C486" t="s">
        <v>960</v>
      </c>
      <c r="D486" t="s">
        <v>80</v>
      </c>
      <c r="E486" t="s">
        <v>26</v>
      </c>
      <c r="F486" t="s">
        <v>17</v>
      </c>
      <c r="G486" t="str">
        <f>"02"</f>
        <v>02</v>
      </c>
      <c r="H486" t="str">
        <f>"7  "</f>
        <v xml:space="preserve">7  </v>
      </c>
      <c r="I486" t="str">
        <f>"2001/01/24"</f>
        <v>2001/01/24</v>
      </c>
      <c r="J486" t="str">
        <f>"533"</f>
        <v>533</v>
      </c>
      <c r="K486" t="s">
        <v>18</v>
      </c>
      <c r="L486" t="s">
        <v>18</v>
      </c>
      <c r="M486" t="str">
        <f>"19830813"</f>
        <v>19830813</v>
      </c>
    </row>
    <row r="487" spans="1:13" x14ac:dyDescent="0.25">
      <c r="A487" t="str">
        <f>"00190392"</f>
        <v>00190392</v>
      </c>
      <c r="B487" t="s">
        <v>963</v>
      </c>
      <c r="C487" t="s">
        <v>14</v>
      </c>
      <c r="D487" t="s">
        <v>179</v>
      </c>
      <c r="E487" t="s">
        <v>26</v>
      </c>
      <c r="F487" t="s">
        <v>17</v>
      </c>
      <c r="G487" t="str">
        <f>"02"</f>
        <v>02</v>
      </c>
      <c r="H487" t="str">
        <f>"3  "</f>
        <v xml:space="preserve">3  </v>
      </c>
      <c r="I487" t="str">
        <f>"2005/01/28"</f>
        <v>2005/01/28</v>
      </c>
      <c r="J487" t="str">
        <f>"503"</f>
        <v>503</v>
      </c>
      <c r="K487" t="str">
        <f>"20210220"</f>
        <v>20210220</v>
      </c>
      <c r="L487" t="s">
        <v>18</v>
      </c>
      <c r="M487" t="str">
        <f>"19990507"</f>
        <v>19990507</v>
      </c>
    </row>
    <row r="488" spans="1:13" x14ac:dyDescent="0.25">
      <c r="A488" t="str">
        <f>"00256275"</f>
        <v>00256275</v>
      </c>
      <c r="B488" t="s">
        <v>965</v>
      </c>
      <c r="C488" t="s">
        <v>118</v>
      </c>
      <c r="D488" t="s">
        <v>25</v>
      </c>
      <c r="E488" t="s">
        <v>16</v>
      </c>
      <c r="F488" t="s">
        <v>17</v>
      </c>
      <c r="G488" t="str">
        <f>"02"</f>
        <v>02</v>
      </c>
      <c r="H488" t="str">
        <f>"7  "</f>
        <v xml:space="preserve">7  </v>
      </c>
      <c r="I488" t="str">
        <f>"2010/01/04"</f>
        <v>2010/01/04</v>
      </c>
      <c r="J488" t="str">
        <f>"531"</f>
        <v>531</v>
      </c>
      <c r="K488" t="s">
        <v>18</v>
      </c>
      <c r="L488" t="s">
        <v>18</v>
      </c>
      <c r="M488" t="str">
        <f>"19900526"</f>
        <v>19900526</v>
      </c>
    </row>
    <row r="489" spans="1:13" x14ac:dyDescent="0.25">
      <c r="A489" t="str">
        <f>"00364354"</f>
        <v>00364354</v>
      </c>
      <c r="B489" t="s">
        <v>966</v>
      </c>
      <c r="C489" t="s">
        <v>99</v>
      </c>
      <c r="D489" t="s">
        <v>15</v>
      </c>
      <c r="E489" t="s">
        <v>26</v>
      </c>
      <c r="F489" t="s">
        <v>17</v>
      </c>
      <c r="G489" t="str">
        <f>"02"</f>
        <v>02</v>
      </c>
      <c r="H489" t="str">
        <f>"3  "</f>
        <v xml:space="preserve">3  </v>
      </c>
      <c r="I489" t="str">
        <f>"2016/02/02"</f>
        <v>2016/02/02</v>
      </c>
      <c r="J489" t="str">
        <f>"110"</f>
        <v>110</v>
      </c>
      <c r="K489" t="str">
        <f>"20230727"</f>
        <v>20230727</v>
      </c>
      <c r="L489" t="s">
        <v>18</v>
      </c>
      <c r="M489" t="str">
        <f>"20150129"</f>
        <v>20150129</v>
      </c>
    </row>
    <row r="490" spans="1:13" x14ac:dyDescent="0.25">
      <c r="A490" t="str">
        <f>"00281479"</f>
        <v>00281479</v>
      </c>
      <c r="B490" t="s">
        <v>970</v>
      </c>
      <c r="C490" t="s">
        <v>48</v>
      </c>
      <c r="D490" t="s">
        <v>45</v>
      </c>
      <c r="E490" t="s">
        <v>26</v>
      </c>
      <c r="F490" t="s">
        <v>17</v>
      </c>
      <c r="G490" t="str">
        <f>"02"</f>
        <v>02</v>
      </c>
      <c r="H490" t="str">
        <f>"7  "</f>
        <v xml:space="preserve">7  </v>
      </c>
      <c r="I490" t="str">
        <f>"2003/04/02"</f>
        <v>2003/04/02</v>
      </c>
      <c r="J490" t="str">
        <f>"110"</f>
        <v>110</v>
      </c>
      <c r="K490" t="s">
        <v>18</v>
      </c>
      <c r="L490" t="s">
        <v>18</v>
      </c>
      <c r="M490" t="str">
        <f>"20030210"</f>
        <v>20030210</v>
      </c>
    </row>
    <row r="491" spans="1:13" x14ac:dyDescent="0.25">
      <c r="A491" t="str">
        <f>"00189622"</f>
        <v>00189622</v>
      </c>
      <c r="B491" t="s">
        <v>970</v>
      </c>
      <c r="C491" t="s">
        <v>96</v>
      </c>
      <c r="D491" t="s">
        <v>21</v>
      </c>
      <c r="E491" t="s">
        <v>16</v>
      </c>
      <c r="F491" t="s">
        <v>17</v>
      </c>
      <c r="G491" t="str">
        <f>"02"</f>
        <v>02</v>
      </c>
      <c r="H491" t="str">
        <f>"7  "</f>
        <v xml:space="preserve">7  </v>
      </c>
      <c r="I491" t="str">
        <f>"2006/09/12"</f>
        <v>2006/09/12</v>
      </c>
      <c r="J491" t="str">
        <f>"510"</f>
        <v>510</v>
      </c>
      <c r="K491" t="s">
        <v>18</v>
      </c>
      <c r="L491" t="s">
        <v>18</v>
      </c>
      <c r="M491" t="str">
        <f>"20050429"</f>
        <v>20050429</v>
      </c>
    </row>
    <row r="492" spans="1:13" x14ac:dyDescent="0.25">
      <c r="A492" t="str">
        <f>"00274356"</f>
        <v>00274356</v>
      </c>
      <c r="B492" t="s">
        <v>970</v>
      </c>
      <c r="C492" t="s">
        <v>882</v>
      </c>
      <c r="D492" t="s">
        <v>40</v>
      </c>
      <c r="E492" t="s">
        <v>16</v>
      </c>
      <c r="F492" t="s">
        <v>17</v>
      </c>
      <c r="G492" t="str">
        <f>"02"</f>
        <v>02</v>
      </c>
      <c r="H492" t="str">
        <f>"3  "</f>
        <v xml:space="preserve">3  </v>
      </c>
      <c r="I492" t="str">
        <f>"2012/01/11"</f>
        <v>2012/01/11</v>
      </c>
      <c r="J492" t="str">
        <f>"110"</f>
        <v>110</v>
      </c>
      <c r="K492" t="str">
        <f>"20230303"</f>
        <v>20230303</v>
      </c>
      <c r="L492" t="s">
        <v>18</v>
      </c>
      <c r="M492" t="str">
        <f>"20110802"</f>
        <v>20110802</v>
      </c>
    </row>
    <row r="493" spans="1:13" x14ac:dyDescent="0.25">
      <c r="A493" t="str">
        <f>"00665667"</f>
        <v>00665667</v>
      </c>
      <c r="B493" t="s">
        <v>971</v>
      </c>
      <c r="C493" t="s">
        <v>973</v>
      </c>
      <c r="D493" t="s">
        <v>25</v>
      </c>
      <c r="E493" t="s">
        <v>26</v>
      </c>
      <c r="F493" t="s">
        <v>17</v>
      </c>
      <c r="G493" t="str">
        <f>"02"</f>
        <v>02</v>
      </c>
      <c r="H493" t="str">
        <f>"7  "</f>
        <v xml:space="preserve">7  </v>
      </c>
      <c r="I493" t="str">
        <f>"2015/04/01"</f>
        <v>2015/04/01</v>
      </c>
      <c r="J493" t="str">
        <f>"510"</f>
        <v>510</v>
      </c>
      <c r="K493" t="s">
        <v>18</v>
      </c>
      <c r="L493" t="s">
        <v>18</v>
      </c>
      <c r="M493" t="str">
        <f>"20130731"</f>
        <v>20130731</v>
      </c>
    </row>
    <row r="494" spans="1:13" x14ac:dyDescent="0.25">
      <c r="A494" t="str">
        <f>"00474950"</f>
        <v>00474950</v>
      </c>
      <c r="B494" t="s">
        <v>971</v>
      </c>
      <c r="C494" t="s">
        <v>975</v>
      </c>
      <c r="D494" t="s">
        <v>40</v>
      </c>
      <c r="E494" t="s">
        <v>26</v>
      </c>
      <c r="F494" t="s">
        <v>17</v>
      </c>
      <c r="G494" t="str">
        <f>"02"</f>
        <v>02</v>
      </c>
      <c r="H494" t="str">
        <f>"3  "</f>
        <v xml:space="preserve">3  </v>
      </c>
      <c r="I494" t="str">
        <f>"2014/03/24"</f>
        <v>2014/03/24</v>
      </c>
      <c r="J494" t="str">
        <f>"510"</f>
        <v>510</v>
      </c>
      <c r="K494" t="str">
        <f>"20230729"</f>
        <v>20230729</v>
      </c>
      <c r="L494" t="s">
        <v>18</v>
      </c>
      <c r="M494" t="str">
        <f>"20130405"</f>
        <v>20130405</v>
      </c>
    </row>
    <row r="495" spans="1:13" x14ac:dyDescent="0.25">
      <c r="A495" t="str">
        <f>"00293394"</f>
        <v>00293394</v>
      </c>
      <c r="B495" t="s">
        <v>971</v>
      </c>
      <c r="C495" t="s">
        <v>96</v>
      </c>
      <c r="D495" t="s">
        <v>25</v>
      </c>
      <c r="E495" t="s">
        <v>26</v>
      </c>
      <c r="F495" t="s">
        <v>17</v>
      </c>
      <c r="G495" t="str">
        <f>"02"</f>
        <v>02</v>
      </c>
      <c r="H495" t="str">
        <f>"3  "</f>
        <v xml:space="preserve">3  </v>
      </c>
      <c r="I495" t="str">
        <f>"2020/05/30"</f>
        <v>2020/05/30</v>
      </c>
      <c r="J495" t="str">
        <f>"503"</f>
        <v>503</v>
      </c>
      <c r="K495" t="str">
        <f>"20220709"</f>
        <v>20220709</v>
      </c>
      <c r="L495" t="s">
        <v>18</v>
      </c>
      <c r="M495" t="str">
        <f>"20191126"</f>
        <v>20191126</v>
      </c>
    </row>
    <row r="496" spans="1:13" x14ac:dyDescent="0.25">
      <c r="A496" t="str">
        <f>"00412888"</f>
        <v>00412888</v>
      </c>
      <c r="B496" t="s">
        <v>971</v>
      </c>
      <c r="C496" t="s">
        <v>72</v>
      </c>
      <c r="D496" t="s">
        <v>25</v>
      </c>
      <c r="E496" t="s">
        <v>26</v>
      </c>
      <c r="F496" t="s">
        <v>17</v>
      </c>
      <c r="G496" t="str">
        <f>"02"</f>
        <v>02</v>
      </c>
      <c r="H496" t="str">
        <f>"3  "</f>
        <v xml:space="preserve">3  </v>
      </c>
      <c r="I496" t="str">
        <f>"2020/09/16"</f>
        <v>2020/09/16</v>
      </c>
      <c r="J496" t="str">
        <f>"533"</f>
        <v>533</v>
      </c>
      <c r="K496" t="str">
        <f>"20360820"</f>
        <v>20360820</v>
      </c>
      <c r="L496" t="s">
        <v>18</v>
      </c>
      <c r="M496" t="str">
        <f>"20160101"</f>
        <v>20160101</v>
      </c>
    </row>
    <row r="497" spans="1:13" x14ac:dyDescent="0.25">
      <c r="A497" t="str">
        <f>"00507702"</f>
        <v>00507702</v>
      </c>
      <c r="B497" t="s">
        <v>977</v>
      </c>
      <c r="C497" t="s">
        <v>978</v>
      </c>
      <c r="D497" t="s">
        <v>21</v>
      </c>
      <c r="E497" t="s">
        <v>16</v>
      </c>
      <c r="F497" t="s">
        <v>17</v>
      </c>
      <c r="G497" t="str">
        <f>"02"</f>
        <v>02</v>
      </c>
      <c r="H497" t="str">
        <f>"3  "</f>
        <v xml:space="preserve">3  </v>
      </c>
      <c r="I497" t="str">
        <f>"2009/03/16"</f>
        <v>2009/03/16</v>
      </c>
      <c r="J497" t="str">
        <f>"510"</f>
        <v>510</v>
      </c>
      <c r="K497" t="str">
        <f>"20330529"</f>
        <v>20330529</v>
      </c>
      <c r="L497" t="s">
        <v>18</v>
      </c>
      <c r="M497" t="str">
        <f>"20070910"</f>
        <v>20070910</v>
      </c>
    </row>
    <row r="498" spans="1:13" x14ac:dyDescent="0.25">
      <c r="A498" t="str">
        <f>"00598049"</f>
        <v>00598049</v>
      </c>
      <c r="B498" t="s">
        <v>979</v>
      </c>
      <c r="C498" t="s">
        <v>980</v>
      </c>
      <c r="D498" t="s">
        <v>25</v>
      </c>
      <c r="E498" t="s">
        <v>26</v>
      </c>
      <c r="F498" t="s">
        <v>17</v>
      </c>
      <c r="G498" t="str">
        <f>"02"</f>
        <v>02</v>
      </c>
      <c r="H498" t="str">
        <f>"3  "</f>
        <v xml:space="preserve">3  </v>
      </c>
      <c r="I498" t="str">
        <f>"2018/10/05"</f>
        <v>2018/10/05</v>
      </c>
      <c r="J498" t="str">
        <f>"510"</f>
        <v>510</v>
      </c>
      <c r="K498" t="str">
        <f>"20300530"</f>
        <v>20300530</v>
      </c>
      <c r="L498" t="s">
        <v>18</v>
      </c>
      <c r="M498" t="str">
        <f>"20161211"</f>
        <v>20161211</v>
      </c>
    </row>
    <row r="499" spans="1:13" x14ac:dyDescent="0.25">
      <c r="A499" t="str">
        <f>"00071539"</f>
        <v>00071539</v>
      </c>
      <c r="B499" t="s">
        <v>979</v>
      </c>
      <c r="C499" t="s">
        <v>663</v>
      </c>
      <c r="D499" t="s">
        <v>16</v>
      </c>
      <c r="E499" t="s">
        <v>16</v>
      </c>
      <c r="F499" t="s">
        <v>17</v>
      </c>
      <c r="G499" t="str">
        <f>"02"</f>
        <v>02</v>
      </c>
      <c r="H499" t="str">
        <f>"3  "</f>
        <v xml:space="preserve">3  </v>
      </c>
      <c r="I499" t="str">
        <f>"1998/06/15"</f>
        <v>1998/06/15</v>
      </c>
      <c r="J499" t="str">
        <f>"510"</f>
        <v>510</v>
      </c>
      <c r="K499" t="str">
        <f>"20221109"</f>
        <v>20221109</v>
      </c>
      <c r="L499" t="s">
        <v>18</v>
      </c>
      <c r="M499" t="str">
        <f>"19970819"</f>
        <v>19970819</v>
      </c>
    </row>
    <row r="500" spans="1:13" x14ac:dyDescent="0.25">
      <c r="A500" t="str">
        <f>"00193980"</f>
        <v>00193980</v>
      </c>
      <c r="B500" t="s">
        <v>985</v>
      </c>
      <c r="C500" t="s">
        <v>249</v>
      </c>
      <c r="D500" t="s">
        <v>80</v>
      </c>
      <c r="E500" t="s">
        <v>16</v>
      </c>
      <c r="F500" t="s">
        <v>17</v>
      </c>
      <c r="G500" t="str">
        <f>"02"</f>
        <v>02</v>
      </c>
      <c r="H500" t="str">
        <f>"7  "</f>
        <v xml:space="preserve">7  </v>
      </c>
      <c r="I500" t="str">
        <f>"1999/12/07"</f>
        <v>1999/12/07</v>
      </c>
      <c r="J500" t="str">
        <f>"533"</f>
        <v>533</v>
      </c>
      <c r="K500" t="s">
        <v>18</v>
      </c>
      <c r="L500" t="s">
        <v>18</v>
      </c>
      <c r="M500" t="str">
        <f>"19870820"</f>
        <v>19870820</v>
      </c>
    </row>
    <row r="501" spans="1:13" x14ac:dyDescent="0.25">
      <c r="A501" t="str">
        <f>"00501515"</f>
        <v>00501515</v>
      </c>
      <c r="B501" t="s">
        <v>986</v>
      </c>
      <c r="C501" t="s">
        <v>987</v>
      </c>
      <c r="D501" t="s">
        <v>61</v>
      </c>
      <c r="E501" t="s">
        <v>16</v>
      </c>
      <c r="F501" t="s">
        <v>17</v>
      </c>
      <c r="G501" t="str">
        <f>"02"</f>
        <v>02</v>
      </c>
      <c r="H501" t="str">
        <f>"3  "</f>
        <v xml:space="preserve">3  </v>
      </c>
      <c r="I501" t="str">
        <f>"2014/02/19"</f>
        <v>2014/02/19</v>
      </c>
      <c r="J501" t="str">
        <f>"110"</f>
        <v>110</v>
      </c>
      <c r="K501" t="str">
        <f>"20201021"</f>
        <v>20201021</v>
      </c>
      <c r="L501" t="s">
        <v>18</v>
      </c>
      <c r="M501" t="str">
        <f>"20130802"</f>
        <v>20130802</v>
      </c>
    </row>
    <row r="502" spans="1:13" x14ac:dyDescent="0.25">
      <c r="A502" t="str">
        <f>"00314128"</f>
        <v>00314128</v>
      </c>
      <c r="B502" t="s">
        <v>986</v>
      </c>
      <c r="C502" t="s">
        <v>595</v>
      </c>
      <c r="D502" t="s">
        <v>40</v>
      </c>
      <c r="E502" t="s">
        <v>26</v>
      </c>
      <c r="F502" t="s">
        <v>17</v>
      </c>
      <c r="G502" t="str">
        <f>"02"</f>
        <v>02</v>
      </c>
      <c r="H502" t="str">
        <f>"3  "</f>
        <v xml:space="preserve">3  </v>
      </c>
      <c r="I502" t="str">
        <f>"2005/12/01"</f>
        <v>2005/12/01</v>
      </c>
      <c r="J502" t="str">
        <f>"503"</f>
        <v>503</v>
      </c>
      <c r="K502" t="str">
        <f>"20300531"</f>
        <v>20300531</v>
      </c>
      <c r="L502" t="s">
        <v>18</v>
      </c>
      <c r="M502" t="str">
        <f>"20020626"</f>
        <v>20020626</v>
      </c>
    </row>
    <row r="503" spans="1:13" x14ac:dyDescent="0.25">
      <c r="A503" t="str">
        <f>"00262832"</f>
        <v>00262832</v>
      </c>
      <c r="B503" t="s">
        <v>986</v>
      </c>
      <c r="C503" t="s">
        <v>687</v>
      </c>
      <c r="D503" t="s">
        <v>25</v>
      </c>
      <c r="E503" t="s">
        <v>26</v>
      </c>
      <c r="F503" t="s">
        <v>17</v>
      </c>
      <c r="G503" t="str">
        <f>"02"</f>
        <v>02</v>
      </c>
      <c r="H503" t="str">
        <f>"7  "</f>
        <v xml:space="preserve">7  </v>
      </c>
      <c r="I503" t="str">
        <f>"2001/01/24"</f>
        <v>2001/01/24</v>
      </c>
      <c r="J503" t="str">
        <f>"533"</f>
        <v>533</v>
      </c>
      <c r="K503" t="s">
        <v>18</v>
      </c>
      <c r="L503" t="s">
        <v>18</v>
      </c>
      <c r="M503" t="str">
        <f>"19911004"</f>
        <v>19911004</v>
      </c>
    </row>
    <row r="504" spans="1:13" x14ac:dyDescent="0.25">
      <c r="A504" t="str">
        <f>"00500840"</f>
        <v>00500840</v>
      </c>
      <c r="B504" t="s">
        <v>986</v>
      </c>
      <c r="C504" t="s">
        <v>989</v>
      </c>
      <c r="D504" t="s">
        <v>25</v>
      </c>
      <c r="E504" t="s">
        <v>26</v>
      </c>
      <c r="F504" t="s">
        <v>17</v>
      </c>
      <c r="G504" t="str">
        <f>"02"</f>
        <v>02</v>
      </c>
      <c r="H504" t="str">
        <f>"7  "</f>
        <v xml:space="preserve">7  </v>
      </c>
      <c r="I504" t="str">
        <f>"2004/02/25"</f>
        <v>2004/02/25</v>
      </c>
      <c r="J504" t="str">
        <f>"510"</f>
        <v>510</v>
      </c>
      <c r="K504" t="s">
        <v>18</v>
      </c>
      <c r="L504" t="s">
        <v>18</v>
      </c>
      <c r="M504" t="str">
        <f>"20030215"</f>
        <v>20030215</v>
      </c>
    </row>
    <row r="505" spans="1:13" x14ac:dyDescent="0.25">
      <c r="A505" t="str">
        <f>"00183995"</f>
        <v>00183995</v>
      </c>
      <c r="B505" t="s">
        <v>986</v>
      </c>
      <c r="C505" t="s">
        <v>327</v>
      </c>
      <c r="D505" t="s">
        <v>15</v>
      </c>
      <c r="E505" t="s">
        <v>26</v>
      </c>
      <c r="F505" t="s">
        <v>17</v>
      </c>
      <c r="G505" t="str">
        <f>"02"</f>
        <v>02</v>
      </c>
      <c r="H505" t="str">
        <f>"7  "</f>
        <v xml:space="preserve">7  </v>
      </c>
      <c r="I505" t="str">
        <f>"1982/09/16"</f>
        <v>1982/09/16</v>
      </c>
      <c r="J505" t="str">
        <f>"114"</f>
        <v>114</v>
      </c>
      <c r="K505" t="s">
        <v>18</v>
      </c>
      <c r="L505" t="str">
        <f>"20120116"</f>
        <v>20120116</v>
      </c>
      <c r="M505" t="str">
        <f>"19820124"</f>
        <v>19820124</v>
      </c>
    </row>
    <row r="506" spans="1:13" x14ac:dyDescent="0.25">
      <c r="A506" t="str">
        <f>"00419700"</f>
        <v>00419700</v>
      </c>
      <c r="B506" t="s">
        <v>986</v>
      </c>
      <c r="C506" t="s">
        <v>991</v>
      </c>
      <c r="D506" t="s">
        <v>25</v>
      </c>
      <c r="E506" t="s">
        <v>26</v>
      </c>
      <c r="F506" t="s">
        <v>17</v>
      </c>
      <c r="G506" t="str">
        <f>"02"</f>
        <v>02</v>
      </c>
      <c r="H506" t="str">
        <f>"7  "</f>
        <v xml:space="preserve">7  </v>
      </c>
      <c r="I506" t="str">
        <f>"2011/09/14"</f>
        <v>2011/09/14</v>
      </c>
      <c r="J506" t="str">
        <f>"510"</f>
        <v>510</v>
      </c>
      <c r="K506" t="s">
        <v>18</v>
      </c>
      <c r="L506" t="s">
        <v>18</v>
      </c>
      <c r="M506" t="str">
        <f>"20091028"</f>
        <v>20091028</v>
      </c>
    </row>
    <row r="507" spans="1:13" x14ac:dyDescent="0.25">
      <c r="A507" t="str">
        <f>"00277657"</f>
        <v>00277657</v>
      </c>
      <c r="B507" t="s">
        <v>993</v>
      </c>
      <c r="C507" t="s">
        <v>66</v>
      </c>
      <c r="D507" t="s">
        <v>15</v>
      </c>
      <c r="E507" t="s">
        <v>16</v>
      </c>
      <c r="F507" t="s">
        <v>17</v>
      </c>
      <c r="G507" t="str">
        <f>"02"</f>
        <v>02</v>
      </c>
      <c r="H507" t="str">
        <f>"3  "</f>
        <v xml:space="preserve">3  </v>
      </c>
      <c r="I507" t="str">
        <f>"2006/09/13"</f>
        <v>2006/09/13</v>
      </c>
      <c r="J507" t="str">
        <f>"510"</f>
        <v>510</v>
      </c>
      <c r="K507" t="str">
        <f>"20260221"</f>
        <v>20260221</v>
      </c>
      <c r="L507" t="s">
        <v>18</v>
      </c>
      <c r="M507" t="str">
        <f>"20050107"</f>
        <v>20050107</v>
      </c>
    </row>
    <row r="508" spans="1:13" x14ac:dyDescent="0.25">
      <c r="A508" t="str">
        <f>"00123717"</f>
        <v>00123717</v>
      </c>
      <c r="B508" t="s">
        <v>993</v>
      </c>
      <c r="C508" t="s">
        <v>66</v>
      </c>
      <c r="D508" t="s">
        <v>182</v>
      </c>
      <c r="E508" t="s">
        <v>26</v>
      </c>
      <c r="F508" t="s">
        <v>17</v>
      </c>
      <c r="G508" t="str">
        <f>"02"</f>
        <v>02</v>
      </c>
      <c r="H508" t="str">
        <f>"7  "</f>
        <v xml:space="preserve">7  </v>
      </c>
      <c r="I508" t="str">
        <f>"2010/01/07"</f>
        <v>2010/01/07</v>
      </c>
      <c r="J508" t="str">
        <f>"531"</f>
        <v>531</v>
      </c>
      <c r="K508" t="s">
        <v>18</v>
      </c>
      <c r="L508" t="s">
        <v>18</v>
      </c>
      <c r="M508" t="str">
        <f>"19771011"</f>
        <v>19771011</v>
      </c>
    </row>
    <row r="509" spans="1:13" x14ac:dyDescent="0.25">
      <c r="A509" t="str">
        <f>"00295177"</f>
        <v>00295177</v>
      </c>
      <c r="B509" t="s">
        <v>998</v>
      </c>
      <c r="C509" t="s">
        <v>626</v>
      </c>
      <c r="D509" t="s">
        <v>15</v>
      </c>
      <c r="E509" t="s">
        <v>26</v>
      </c>
      <c r="F509" t="s">
        <v>17</v>
      </c>
      <c r="G509" t="str">
        <f>"02"</f>
        <v>02</v>
      </c>
      <c r="H509" t="str">
        <f>"3  "</f>
        <v xml:space="preserve">3  </v>
      </c>
      <c r="I509" t="str">
        <f>"2008/07/23"</f>
        <v>2008/07/23</v>
      </c>
      <c r="J509" t="str">
        <f>"503"</f>
        <v>503</v>
      </c>
      <c r="K509" t="str">
        <f>"20560703"</f>
        <v>20560703</v>
      </c>
      <c r="L509" t="s">
        <v>18</v>
      </c>
      <c r="M509" t="str">
        <f>"20050430"</f>
        <v>20050430</v>
      </c>
    </row>
    <row r="510" spans="1:13" x14ac:dyDescent="0.25">
      <c r="A510" t="str">
        <f>"00280770"</f>
        <v>00280770</v>
      </c>
      <c r="B510" t="s">
        <v>998</v>
      </c>
      <c r="C510" t="s">
        <v>169</v>
      </c>
      <c r="D510" t="s">
        <v>61</v>
      </c>
      <c r="E510" t="s">
        <v>26</v>
      </c>
      <c r="F510" t="s">
        <v>17</v>
      </c>
      <c r="G510" t="str">
        <f>"02"</f>
        <v>02</v>
      </c>
      <c r="H510" t="str">
        <f>"3  "</f>
        <v xml:space="preserve">3  </v>
      </c>
      <c r="I510" t="str">
        <f>"2020/09/16"</f>
        <v>2020/09/16</v>
      </c>
      <c r="J510" t="str">
        <f>"533"</f>
        <v>533</v>
      </c>
      <c r="K510" t="str">
        <f>"20210723"</f>
        <v>20210723</v>
      </c>
      <c r="L510" t="s">
        <v>18</v>
      </c>
      <c r="M510" t="str">
        <f>"20130103"</f>
        <v>20130103</v>
      </c>
    </row>
    <row r="511" spans="1:13" x14ac:dyDescent="0.25">
      <c r="A511" t="str">
        <f>"00234468"</f>
        <v>00234468</v>
      </c>
      <c r="B511" t="s">
        <v>999</v>
      </c>
      <c r="C511" t="s">
        <v>55</v>
      </c>
      <c r="D511" t="s">
        <v>16</v>
      </c>
      <c r="E511" t="s">
        <v>16</v>
      </c>
      <c r="F511" t="s">
        <v>17</v>
      </c>
      <c r="G511" t="str">
        <f>"02"</f>
        <v>02</v>
      </c>
      <c r="H511" t="str">
        <f>"3  "</f>
        <v xml:space="preserve">3  </v>
      </c>
      <c r="I511" t="str">
        <f>"2018/08/30"</f>
        <v>2018/08/30</v>
      </c>
      <c r="J511" t="str">
        <f>"503"</f>
        <v>503</v>
      </c>
      <c r="K511" t="str">
        <f>"20210305"</f>
        <v>20210305</v>
      </c>
      <c r="L511" t="s">
        <v>18</v>
      </c>
      <c r="M511" t="str">
        <f>"20140303"</f>
        <v>20140303</v>
      </c>
    </row>
    <row r="512" spans="1:13" x14ac:dyDescent="0.25">
      <c r="A512" t="str">
        <f>"00174574"</f>
        <v>00174574</v>
      </c>
      <c r="B512" t="s">
        <v>1001</v>
      </c>
      <c r="C512" t="s">
        <v>150</v>
      </c>
      <c r="D512" t="s">
        <v>45</v>
      </c>
      <c r="E512" t="s">
        <v>16</v>
      </c>
      <c r="F512" t="s">
        <v>17</v>
      </c>
      <c r="G512" t="str">
        <f>"02"</f>
        <v>02</v>
      </c>
      <c r="H512" t="str">
        <f>"7  "</f>
        <v xml:space="preserve">7  </v>
      </c>
      <c r="I512" t="str">
        <f>"1990/02/23"</f>
        <v>1990/02/23</v>
      </c>
      <c r="J512" t="str">
        <f>"114"</f>
        <v>114</v>
      </c>
      <c r="K512" t="s">
        <v>18</v>
      </c>
      <c r="L512" t="str">
        <f>"20690221"</f>
        <v>20690221</v>
      </c>
      <c r="M512" t="str">
        <f>"19890222"</f>
        <v>19890222</v>
      </c>
    </row>
    <row r="513" spans="1:13" x14ac:dyDescent="0.25">
      <c r="A513" t="str">
        <f>"00750635"</f>
        <v>00750635</v>
      </c>
      <c r="B513" t="s">
        <v>1005</v>
      </c>
      <c r="C513" t="s">
        <v>60</v>
      </c>
      <c r="D513" t="s">
        <v>61</v>
      </c>
      <c r="E513" t="s">
        <v>16</v>
      </c>
      <c r="F513" t="s">
        <v>17</v>
      </c>
      <c r="G513" t="str">
        <f>"02"</f>
        <v>02</v>
      </c>
      <c r="H513" t="str">
        <f>"3  "</f>
        <v xml:space="preserve">3  </v>
      </c>
      <c r="I513" t="str">
        <f>"2017/07/25"</f>
        <v>2017/07/25</v>
      </c>
      <c r="J513" t="str">
        <f>"110"</f>
        <v>110</v>
      </c>
      <c r="K513" t="str">
        <f>"20211204"</f>
        <v>20211204</v>
      </c>
      <c r="L513" t="s">
        <v>18</v>
      </c>
      <c r="M513" t="str">
        <f>"20160721"</f>
        <v>20160721</v>
      </c>
    </row>
    <row r="514" spans="1:13" x14ac:dyDescent="0.25">
      <c r="A514" t="str">
        <f>"00666014"</f>
        <v>00666014</v>
      </c>
      <c r="B514" t="s">
        <v>1010</v>
      </c>
      <c r="C514" t="s">
        <v>44</v>
      </c>
      <c r="D514" t="s">
        <v>21</v>
      </c>
      <c r="E514" t="s">
        <v>16</v>
      </c>
      <c r="F514" t="s">
        <v>17</v>
      </c>
      <c r="G514" t="str">
        <f>"02"</f>
        <v>02</v>
      </c>
      <c r="H514" t="str">
        <f>"3  "</f>
        <v xml:space="preserve">3  </v>
      </c>
      <c r="I514" t="str">
        <f>"2015/04/10"</f>
        <v>2015/04/10</v>
      </c>
      <c r="J514" t="str">
        <f>"503"</f>
        <v>503</v>
      </c>
      <c r="K514" t="str">
        <f>"20221217"</f>
        <v>20221217</v>
      </c>
      <c r="L514" t="s">
        <v>18</v>
      </c>
      <c r="M514" t="str">
        <f>"20100516"</f>
        <v>20100516</v>
      </c>
    </row>
    <row r="515" spans="1:13" x14ac:dyDescent="0.25">
      <c r="A515" t="str">
        <f>"00403972"</f>
        <v>00403972</v>
      </c>
      <c r="B515" t="s">
        <v>1016</v>
      </c>
      <c r="C515" t="s">
        <v>96</v>
      </c>
      <c r="D515" t="s">
        <v>45</v>
      </c>
      <c r="E515" t="s">
        <v>26</v>
      </c>
      <c r="F515" t="s">
        <v>17</v>
      </c>
      <c r="G515" t="str">
        <f>"02"</f>
        <v>02</v>
      </c>
      <c r="H515" t="str">
        <f>"7  "</f>
        <v xml:space="preserve">7  </v>
      </c>
      <c r="I515" t="str">
        <f>"2012/09/17"</f>
        <v>2012/09/17</v>
      </c>
      <c r="J515" t="str">
        <f>"110"</f>
        <v>110</v>
      </c>
      <c r="K515" t="s">
        <v>18</v>
      </c>
      <c r="L515" t="s">
        <v>18</v>
      </c>
      <c r="M515" t="str">
        <f>"20050607"</f>
        <v>20050607</v>
      </c>
    </row>
    <row r="516" spans="1:13" x14ac:dyDescent="0.25">
      <c r="A516" t="str">
        <f>"00308199"</f>
        <v>00308199</v>
      </c>
      <c r="B516" t="s">
        <v>1020</v>
      </c>
      <c r="C516" t="s">
        <v>96</v>
      </c>
      <c r="D516" t="s">
        <v>37</v>
      </c>
      <c r="E516" t="s">
        <v>26</v>
      </c>
      <c r="F516" t="s">
        <v>17</v>
      </c>
      <c r="G516" t="str">
        <f>"02"</f>
        <v>02</v>
      </c>
      <c r="H516" t="str">
        <f>"3  "</f>
        <v xml:space="preserve">3  </v>
      </c>
      <c r="I516" t="str">
        <f>"2018/12/03"</f>
        <v>2018/12/03</v>
      </c>
      <c r="J516" t="str">
        <f>"510"</f>
        <v>510</v>
      </c>
      <c r="K516" t="str">
        <f>"20450117"</f>
        <v>20450117</v>
      </c>
      <c r="L516" t="s">
        <v>18</v>
      </c>
      <c r="M516" t="str">
        <f>"20170203"</f>
        <v>20170203</v>
      </c>
    </row>
    <row r="517" spans="1:13" x14ac:dyDescent="0.25">
      <c r="A517" t="str">
        <f>"00583976"</f>
        <v>00583976</v>
      </c>
      <c r="B517" t="s">
        <v>1020</v>
      </c>
      <c r="C517" t="s">
        <v>1021</v>
      </c>
      <c r="D517" t="s">
        <v>91</v>
      </c>
      <c r="E517" t="s">
        <v>26</v>
      </c>
      <c r="F517" t="s">
        <v>17</v>
      </c>
      <c r="G517" t="str">
        <f>"02"</f>
        <v>02</v>
      </c>
      <c r="H517" t="str">
        <f>"3  "</f>
        <v xml:space="preserve">3  </v>
      </c>
      <c r="I517" t="str">
        <f>"2020/09/16"</f>
        <v>2020/09/16</v>
      </c>
      <c r="J517" t="str">
        <f>"533"</f>
        <v>533</v>
      </c>
      <c r="K517" t="str">
        <f>"20261109"</f>
        <v>20261109</v>
      </c>
      <c r="L517" t="s">
        <v>18</v>
      </c>
      <c r="M517" t="str">
        <f>"20090819"</f>
        <v>20090819</v>
      </c>
    </row>
    <row r="518" spans="1:13" x14ac:dyDescent="0.25">
      <c r="A518" t="str">
        <f>"00308919"</f>
        <v>00308919</v>
      </c>
      <c r="B518" t="s">
        <v>1020</v>
      </c>
      <c r="C518" t="s">
        <v>233</v>
      </c>
      <c r="D518" t="s">
        <v>25</v>
      </c>
      <c r="E518" t="s">
        <v>26</v>
      </c>
      <c r="F518" t="s">
        <v>17</v>
      </c>
      <c r="G518" t="str">
        <f>"02"</f>
        <v>02</v>
      </c>
      <c r="H518" t="str">
        <f>"3  "</f>
        <v xml:space="preserve">3  </v>
      </c>
      <c r="I518" t="str">
        <f>"2020/03/12"</f>
        <v>2020/03/12</v>
      </c>
      <c r="J518" t="str">
        <f>"534"</f>
        <v>534</v>
      </c>
      <c r="K518" t="str">
        <f>"20850703"</f>
        <v>20850703</v>
      </c>
      <c r="L518" t="s">
        <v>18</v>
      </c>
      <c r="M518" t="str">
        <f>"20180115"</f>
        <v>20180115</v>
      </c>
    </row>
    <row r="519" spans="1:13" x14ac:dyDescent="0.25">
      <c r="A519" t="str">
        <f>"00698223"</f>
        <v>00698223</v>
      </c>
      <c r="B519" t="s">
        <v>1027</v>
      </c>
      <c r="C519" t="s">
        <v>1028</v>
      </c>
      <c r="D519" t="s">
        <v>25</v>
      </c>
      <c r="E519" t="s">
        <v>26</v>
      </c>
      <c r="F519" t="s">
        <v>17</v>
      </c>
      <c r="G519" t="str">
        <f>"02"</f>
        <v>02</v>
      </c>
      <c r="H519" t="str">
        <f>"3  "</f>
        <v xml:space="preserve">3  </v>
      </c>
      <c r="I519" t="str">
        <f>"2019/03/15"</f>
        <v>2019/03/15</v>
      </c>
      <c r="J519" t="str">
        <f>"510"</f>
        <v>510</v>
      </c>
      <c r="K519" t="str">
        <f>"20210107"</f>
        <v>20210107</v>
      </c>
      <c r="L519" t="s">
        <v>18</v>
      </c>
      <c r="M519" t="str">
        <f>"20180418"</f>
        <v>20180418</v>
      </c>
    </row>
    <row r="520" spans="1:13" x14ac:dyDescent="0.25">
      <c r="A520" t="str">
        <f>"00214137"</f>
        <v>00214137</v>
      </c>
      <c r="B520" t="s">
        <v>1029</v>
      </c>
      <c r="C520" t="s">
        <v>442</v>
      </c>
      <c r="D520" t="s">
        <v>15</v>
      </c>
      <c r="E520" t="s">
        <v>16</v>
      </c>
      <c r="F520" t="s">
        <v>17</v>
      </c>
      <c r="G520" t="str">
        <f>"02"</f>
        <v>02</v>
      </c>
      <c r="H520" t="str">
        <f>"3  "</f>
        <v xml:space="preserve">3  </v>
      </c>
      <c r="I520" t="str">
        <f>"2007/07/26"</f>
        <v>2007/07/26</v>
      </c>
      <c r="J520" t="str">
        <f>"150"</f>
        <v>150</v>
      </c>
      <c r="K520" t="str">
        <f>"20280215"</f>
        <v>20280215</v>
      </c>
      <c r="L520" t="s">
        <v>18</v>
      </c>
      <c r="M520" t="str">
        <f>"19970318"</f>
        <v>19970318</v>
      </c>
    </row>
    <row r="521" spans="1:13" x14ac:dyDescent="0.25">
      <c r="A521" t="str">
        <f>"00148189"</f>
        <v>00148189</v>
      </c>
      <c r="B521" t="s">
        <v>1032</v>
      </c>
      <c r="C521" t="s">
        <v>169</v>
      </c>
      <c r="D521" t="s">
        <v>16</v>
      </c>
      <c r="E521" t="s">
        <v>16</v>
      </c>
      <c r="F521" t="s">
        <v>17</v>
      </c>
      <c r="G521" t="str">
        <f>"02"</f>
        <v>02</v>
      </c>
      <c r="H521" t="str">
        <f>"3  "</f>
        <v xml:space="preserve">3  </v>
      </c>
      <c r="I521" t="str">
        <f>"2013/09/06"</f>
        <v>2013/09/06</v>
      </c>
      <c r="J521" t="str">
        <f>"510"</f>
        <v>510</v>
      </c>
      <c r="K521" t="str">
        <f>"20290902"</f>
        <v>20290902</v>
      </c>
      <c r="L521" t="s">
        <v>18</v>
      </c>
      <c r="M521" t="str">
        <f>"20111010"</f>
        <v>20111010</v>
      </c>
    </row>
    <row r="522" spans="1:13" x14ac:dyDescent="0.25">
      <c r="A522" t="str">
        <f>"00524781"</f>
        <v>00524781</v>
      </c>
      <c r="B522" t="s">
        <v>1034</v>
      </c>
      <c r="C522" t="s">
        <v>117</v>
      </c>
      <c r="D522" t="s">
        <v>61</v>
      </c>
      <c r="E522" t="s">
        <v>16</v>
      </c>
      <c r="F522" t="s">
        <v>17</v>
      </c>
      <c r="G522" t="str">
        <f>"02"</f>
        <v>02</v>
      </c>
      <c r="H522" t="str">
        <f>"3  "</f>
        <v xml:space="preserve">3  </v>
      </c>
      <c r="I522" t="str">
        <f>"2016/07/15"</f>
        <v>2016/07/15</v>
      </c>
      <c r="J522" t="str">
        <f>"110"</f>
        <v>110</v>
      </c>
      <c r="K522" t="str">
        <f>"20300517"</f>
        <v>20300517</v>
      </c>
      <c r="L522" t="s">
        <v>18</v>
      </c>
      <c r="M522" t="str">
        <f>"20150603"</f>
        <v>20150603</v>
      </c>
    </row>
    <row r="523" spans="1:13" x14ac:dyDescent="0.25">
      <c r="A523" t="str">
        <f>"00549023"</f>
        <v>00549023</v>
      </c>
      <c r="B523" t="s">
        <v>1039</v>
      </c>
      <c r="C523" t="s">
        <v>169</v>
      </c>
      <c r="D523" t="s">
        <v>73</v>
      </c>
      <c r="E523" t="s">
        <v>16</v>
      </c>
      <c r="F523" t="s">
        <v>17</v>
      </c>
      <c r="G523" t="str">
        <f>"02"</f>
        <v>02</v>
      </c>
      <c r="H523" t="str">
        <f>"3  "</f>
        <v xml:space="preserve">3  </v>
      </c>
      <c r="I523" t="str">
        <f>"2020/08/05"</f>
        <v>2020/08/05</v>
      </c>
      <c r="J523" t="str">
        <f>"533"</f>
        <v>533</v>
      </c>
      <c r="K523" t="str">
        <f>"20250101"</f>
        <v>20250101</v>
      </c>
      <c r="L523" t="s">
        <v>18</v>
      </c>
      <c r="M523" t="str">
        <f>"20160129"</f>
        <v>20160129</v>
      </c>
    </row>
    <row r="524" spans="1:13" x14ac:dyDescent="0.25">
      <c r="A524" t="str">
        <f>"00549862"</f>
        <v>00549862</v>
      </c>
      <c r="B524" t="s">
        <v>1043</v>
      </c>
      <c r="C524" t="s">
        <v>817</v>
      </c>
      <c r="D524" t="s">
        <v>182</v>
      </c>
      <c r="E524" t="s">
        <v>16</v>
      </c>
      <c r="F524" t="s">
        <v>17</v>
      </c>
      <c r="G524" t="str">
        <f>"02"</f>
        <v>02</v>
      </c>
      <c r="H524" t="str">
        <f>"3  "</f>
        <v xml:space="preserve">3  </v>
      </c>
      <c r="I524" t="str">
        <f>"2013/12/05"</f>
        <v>2013/12/05</v>
      </c>
      <c r="J524" t="str">
        <f>"534"</f>
        <v>534</v>
      </c>
      <c r="K524" t="str">
        <f>"20210713"</f>
        <v>20210713</v>
      </c>
      <c r="L524" t="s">
        <v>18</v>
      </c>
      <c r="M524" t="str">
        <f>"20090805"</f>
        <v>20090805</v>
      </c>
    </row>
    <row r="525" spans="1:13" x14ac:dyDescent="0.25">
      <c r="A525" t="str">
        <f>"00425626"</f>
        <v>00425626</v>
      </c>
      <c r="B525" t="s">
        <v>1050</v>
      </c>
      <c r="C525" t="s">
        <v>120</v>
      </c>
      <c r="D525" t="s">
        <v>80</v>
      </c>
      <c r="E525" t="s">
        <v>16</v>
      </c>
      <c r="F525" t="s">
        <v>17</v>
      </c>
      <c r="G525" t="str">
        <f>"02"</f>
        <v>02</v>
      </c>
      <c r="H525" t="str">
        <f>"3  "</f>
        <v xml:space="preserve">3  </v>
      </c>
      <c r="I525" t="str">
        <f>"2001/01/31"</f>
        <v>2001/01/31</v>
      </c>
      <c r="J525" t="str">
        <f>"502"</f>
        <v>502</v>
      </c>
      <c r="K525" t="str">
        <f>"20260724"</f>
        <v>20260724</v>
      </c>
      <c r="L525" t="s">
        <v>18</v>
      </c>
      <c r="M525" t="str">
        <f>"20000206"</f>
        <v>20000206</v>
      </c>
    </row>
    <row r="526" spans="1:13" x14ac:dyDescent="0.25">
      <c r="A526" t="str">
        <f>"00504324"</f>
        <v>00504324</v>
      </c>
      <c r="B526" t="s">
        <v>1051</v>
      </c>
      <c r="C526" t="s">
        <v>1052</v>
      </c>
      <c r="D526" t="s">
        <v>31</v>
      </c>
      <c r="E526" t="s">
        <v>26</v>
      </c>
      <c r="F526" t="s">
        <v>17</v>
      </c>
      <c r="G526" t="str">
        <f>"02"</f>
        <v>02</v>
      </c>
      <c r="H526" t="str">
        <f>"3  "</f>
        <v xml:space="preserve">3  </v>
      </c>
      <c r="I526" t="str">
        <f>"2020/09/02"</f>
        <v>2020/09/02</v>
      </c>
      <c r="J526" t="str">
        <f>"533"</f>
        <v>533</v>
      </c>
      <c r="K526" t="str">
        <f>"20311004"</f>
        <v>20311004</v>
      </c>
      <c r="L526" t="s">
        <v>18</v>
      </c>
      <c r="M526" t="str">
        <f>"20121210"</f>
        <v>20121210</v>
      </c>
    </row>
    <row r="527" spans="1:13" x14ac:dyDescent="0.25">
      <c r="A527" t="str">
        <f>"00641064"</f>
        <v>00641064</v>
      </c>
      <c r="B527" t="s">
        <v>1053</v>
      </c>
      <c r="C527" t="s">
        <v>1055</v>
      </c>
      <c r="D527" t="s">
        <v>25</v>
      </c>
      <c r="E527" t="s">
        <v>26</v>
      </c>
      <c r="F527" t="s">
        <v>17</v>
      </c>
      <c r="G527" t="str">
        <f>"02"</f>
        <v>02</v>
      </c>
      <c r="H527" t="str">
        <f>"1  "</f>
        <v xml:space="preserve">1  </v>
      </c>
      <c r="I527" t="str">
        <f>"2020/07/15"</f>
        <v>2020/07/15</v>
      </c>
      <c r="J527" t="str">
        <f>"120"</f>
        <v>120</v>
      </c>
      <c r="K527" t="str">
        <f>"20201203"</f>
        <v>20201203</v>
      </c>
      <c r="L527" t="s">
        <v>18</v>
      </c>
      <c r="M527" t="str">
        <f>"20200714"</f>
        <v>20200714</v>
      </c>
    </row>
    <row r="528" spans="1:13" x14ac:dyDescent="0.25">
      <c r="A528" t="str">
        <f>"00744771"</f>
        <v>00744771</v>
      </c>
      <c r="B528" t="s">
        <v>1061</v>
      </c>
      <c r="C528" t="s">
        <v>1062</v>
      </c>
      <c r="D528" t="s">
        <v>80</v>
      </c>
      <c r="E528" t="s">
        <v>16</v>
      </c>
      <c r="F528" t="s">
        <v>17</v>
      </c>
      <c r="G528" t="str">
        <f>"02"</f>
        <v>02</v>
      </c>
      <c r="H528" t="str">
        <f>"3  "</f>
        <v xml:space="preserve">3  </v>
      </c>
      <c r="I528" t="str">
        <f>"2014/08/22"</f>
        <v>2014/08/22</v>
      </c>
      <c r="J528" t="str">
        <f>"510"</f>
        <v>510</v>
      </c>
      <c r="K528" t="str">
        <f>"20230526"</f>
        <v>20230526</v>
      </c>
      <c r="L528" t="s">
        <v>18</v>
      </c>
      <c r="M528" t="str">
        <f>"20130606"</f>
        <v>20130606</v>
      </c>
    </row>
    <row r="529" spans="1:13" x14ac:dyDescent="0.25">
      <c r="A529" t="str">
        <f>"00264406"</f>
        <v>00264406</v>
      </c>
      <c r="B529" t="s">
        <v>1065</v>
      </c>
      <c r="C529" t="s">
        <v>1067</v>
      </c>
      <c r="D529" t="s">
        <v>107</v>
      </c>
      <c r="E529" t="s">
        <v>26</v>
      </c>
      <c r="F529" t="s">
        <v>17</v>
      </c>
      <c r="G529" t="str">
        <f>"02"</f>
        <v>02</v>
      </c>
      <c r="H529" t="str">
        <f>"3  "</f>
        <v xml:space="preserve">3  </v>
      </c>
      <c r="I529" t="str">
        <f>"2006/12/29"</f>
        <v>2006/12/29</v>
      </c>
      <c r="J529" t="str">
        <f>"510"</f>
        <v>510</v>
      </c>
      <c r="K529" t="str">
        <f>"20320625"</f>
        <v>20320625</v>
      </c>
      <c r="L529" t="s">
        <v>18</v>
      </c>
      <c r="M529" t="str">
        <f>"20060101"</f>
        <v>20060101</v>
      </c>
    </row>
    <row r="530" spans="1:13" x14ac:dyDescent="0.25">
      <c r="A530" t="str">
        <f>"00420140"</f>
        <v>00420140</v>
      </c>
      <c r="B530" t="s">
        <v>1070</v>
      </c>
      <c r="C530" t="s">
        <v>308</v>
      </c>
      <c r="D530" t="s">
        <v>91</v>
      </c>
      <c r="E530" t="s">
        <v>16</v>
      </c>
      <c r="F530" t="s">
        <v>17</v>
      </c>
      <c r="G530" t="str">
        <f>"02"</f>
        <v>02</v>
      </c>
      <c r="H530" t="str">
        <f>"3  "</f>
        <v xml:space="preserve">3  </v>
      </c>
      <c r="I530" t="str">
        <f>"2018/10/23"</f>
        <v>2018/10/23</v>
      </c>
      <c r="J530" t="str">
        <f>"510"</f>
        <v>510</v>
      </c>
      <c r="K530" t="str">
        <f>"20210103"</f>
        <v>20210103</v>
      </c>
      <c r="L530" t="s">
        <v>18</v>
      </c>
      <c r="M530" t="str">
        <f>"20140712"</f>
        <v>20140712</v>
      </c>
    </row>
    <row r="531" spans="1:13" x14ac:dyDescent="0.25">
      <c r="A531" t="str">
        <f>"00736570"</f>
        <v>00736570</v>
      </c>
      <c r="B531" t="s">
        <v>1071</v>
      </c>
      <c r="C531" t="s">
        <v>250</v>
      </c>
      <c r="D531" t="s">
        <v>61</v>
      </c>
      <c r="E531" t="s">
        <v>26</v>
      </c>
      <c r="F531" t="s">
        <v>17</v>
      </c>
      <c r="G531" t="str">
        <f>"02"</f>
        <v>02</v>
      </c>
      <c r="H531" t="str">
        <f>"3  "</f>
        <v xml:space="preserve">3  </v>
      </c>
      <c r="I531" t="str">
        <f>"2020/09/16"</f>
        <v>2020/09/16</v>
      </c>
      <c r="J531" t="str">
        <f>"533"</f>
        <v>533</v>
      </c>
      <c r="K531" t="str">
        <f>"20451210"</f>
        <v>20451210</v>
      </c>
      <c r="L531" t="s">
        <v>18</v>
      </c>
      <c r="M531" t="str">
        <f>"20141113"</f>
        <v>20141113</v>
      </c>
    </row>
    <row r="532" spans="1:13" x14ac:dyDescent="0.25">
      <c r="A532" t="str">
        <f>"00375744"</f>
        <v>00375744</v>
      </c>
      <c r="B532" t="s">
        <v>1072</v>
      </c>
      <c r="C532" t="s">
        <v>1073</v>
      </c>
      <c r="D532" t="s">
        <v>182</v>
      </c>
      <c r="E532" t="s">
        <v>26</v>
      </c>
      <c r="F532" t="s">
        <v>17</v>
      </c>
      <c r="G532" t="str">
        <f>"02"</f>
        <v>02</v>
      </c>
      <c r="H532" t="str">
        <f>"3  "</f>
        <v xml:space="preserve">3  </v>
      </c>
      <c r="I532" t="str">
        <f>"2014/08/08"</f>
        <v>2014/08/08</v>
      </c>
      <c r="J532" t="str">
        <f>"510"</f>
        <v>510</v>
      </c>
      <c r="K532" t="str">
        <f>"20220828"</f>
        <v>20220828</v>
      </c>
      <c r="L532" t="s">
        <v>18</v>
      </c>
      <c r="M532" t="str">
        <f>"20120816"</f>
        <v>20120816</v>
      </c>
    </row>
    <row r="533" spans="1:13" x14ac:dyDescent="0.25">
      <c r="A533" t="str">
        <f>"00161241"</f>
        <v>00161241</v>
      </c>
      <c r="B533" t="s">
        <v>1074</v>
      </c>
      <c r="C533" t="s">
        <v>1075</v>
      </c>
      <c r="D533" t="s">
        <v>45</v>
      </c>
      <c r="E533" t="s">
        <v>26</v>
      </c>
      <c r="F533" t="s">
        <v>17</v>
      </c>
      <c r="G533" t="str">
        <f>"02"</f>
        <v>02</v>
      </c>
      <c r="H533" t="str">
        <f>"3  "</f>
        <v xml:space="preserve">3  </v>
      </c>
      <c r="I533" t="str">
        <f>"2017/01/19"</f>
        <v>2017/01/19</v>
      </c>
      <c r="J533" t="str">
        <f>"110"</f>
        <v>110</v>
      </c>
      <c r="K533" t="str">
        <f>"20251103"</f>
        <v>20251103</v>
      </c>
      <c r="L533" t="s">
        <v>18</v>
      </c>
      <c r="M533" t="str">
        <f>"20161113"</f>
        <v>20161113</v>
      </c>
    </row>
    <row r="534" spans="1:13" x14ac:dyDescent="0.25">
      <c r="A534" t="str">
        <f>"00161225"</f>
        <v>00161225</v>
      </c>
      <c r="B534" t="s">
        <v>1074</v>
      </c>
      <c r="C534" t="s">
        <v>488</v>
      </c>
      <c r="D534" t="s">
        <v>25</v>
      </c>
      <c r="E534" t="s">
        <v>26</v>
      </c>
      <c r="F534" t="s">
        <v>17</v>
      </c>
      <c r="G534" t="str">
        <f>"02"</f>
        <v>02</v>
      </c>
      <c r="H534" t="str">
        <f>"7  "</f>
        <v xml:space="preserve">7  </v>
      </c>
      <c r="I534" t="str">
        <f>"2011/03/23"</f>
        <v>2011/03/23</v>
      </c>
      <c r="J534" t="str">
        <f>"503"</f>
        <v>503</v>
      </c>
      <c r="K534" t="s">
        <v>18</v>
      </c>
      <c r="L534" t="str">
        <f>"20301007"</f>
        <v>20301007</v>
      </c>
      <c r="M534" t="str">
        <f>"19870501"</f>
        <v>19870501</v>
      </c>
    </row>
    <row r="535" spans="1:13" x14ac:dyDescent="0.25">
      <c r="A535" t="str">
        <f>"00218725"</f>
        <v>00218725</v>
      </c>
      <c r="B535" t="s">
        <v>1077</v>
      </c>
      <c r="C535" t="s">
        <v>169</v>
      </c>
      <c r="D535" t="s">
        <v>91</v>
      </c>
      <c r="E535" t="s">
        <v>16</v>
      </c>
      <c r="F535" t="s">
        <v>17</v>
      </c>
      <c r="G535" t="str">
        <f>"02"</f>
        <v>02</v>
      </c>
      <c r="H535" t="str">
        <f>"3  "</f>
        <v xml:space="preserve">3  </v>
      </c>
      <c r="I535" t="str">
        <f>"2000/10/12"</f>
        <v>2000/10/12</v>
      </c>
      <c r="J535" t="str">
        <f>"510"</f>
        <v>510</v>
      </c>
      <c r="K535" t="str">
        <f>"20600923"</f>
        <v>20600923</v>
      </c>
      <c r="L535" t="s">
        <v>18</v>
      </c>
      <c r="M535" t="str">
        <f>"19990722"</f>
        <v>19990722</v>
      </c>
    </row>
    <row r="536" spans="1:13" x14ac:dyDescent="0.25">
      <c r="A536" t="str">
        <f>"00214906"</f>
        <v>00214906</v>
      </c>
      <c r="B536" t="s">
        <v>1079</v>
      </c>
      <c r="C536" t="s">
        <v>655</v>
      </c>
      <c r="D536" t="s">
        <v>91</v>
      </c>
      <c r="E536" t="s">
        <v>16</v>
      </c>
      <c r="F536" t="s">
        <v>17</v>
      </c>
      <c r="G536" t="str">
        <f>"02"</f>
        <v>02</v>
      </c>
      <c r="H536" t="str">
        <f>"3  "</f>
        <v xml:space="preserve">3  </v>
      </c>
      <c r="I536" t="str">
        <f>"2009/06/22"</f>
        <v>2009/06/22</v>
      </c>
      <c r="J536" t="str">
        <f>"510"</f>
        <v>510</v>
      </c>
      <c r="K536" t="str">
        <f>"20241014"</f>
        <v>20241014</v>
      </c>
      <c r="L536" t="s">
        <v>18</v>
      </c>
      <c r="M536" t="str">
        <f>"20080103"</f>
        <v>20080103</v>
      </c>
    </row>
    <row r="537" spans="1:13" x14ac:dyDescent="0.25">
      <c r="A537" t="str">
        <f>"00158839"</f>
        <v>00158839</v>
      </c>
      <c r="B537" t="s">
        <v>1080</v>
      </c>
      <c r="C537" t="s">
        <v>599</v>
      </c>
      <c r="D537" t="s">
        <v>45</v>
      </c>
      <c r="E537" t="s">
        <v>26</v>
      </c>
      <c r="F537" t="s">
        <v>17</v>
      </c>
      <c r="G537" t="str">
        <f>"02"</f>
        <v>02</v>
      </c>
      <c r="H537" t="str">
        <f>"4  "</f>
        <v xml:space="preserve">4  </v>
      </c>
      <c r="I537" t="str">
        <f>"2000/10/03"</f>
        <v>2000/10/03</v>
      </c>
      <c r="J537" t="str">
        <f>"510"</f>
        <v>510</v>
      </c>
      <c r="K537" t="str">
        <f>"20280904"</f>
        <v>20280904</v>
      </c>
      <c r="L537" t="s">
        <v>18</v>
      </c>
      <c r="M537" t="str">
        <f>"19971223"</f>
        <v>19971223</v>
      </c>
    </row>
    <row r="538" spans="1:13" x14ac:dyDescent="0.25">
      <c r="A538" t="str">
        <f>"00155538"</f>
        <v>00155538</v>
      </c>
      <c r="B538" t="s">
        <v>1089</v>
      </c>
      <c r="C538" t="s">
        <v>1090</v>
      </c>
      <c r="D538" t="s">
        <v>15</v>
      </c>
      <c r="E538" t="s">
        <v>16</v>
      </c>
      <c r="F538" t="s">
        <v>17</v>
      </c>
      <c r="G538" t="str">
        <f>"02"</f>
        <v>02</v>
      </c>
      <c r="H538" t="str">
        <f>"7  "</f>
        <v xml:space="preserve">7  </v>
      </c>
      <c r="I538" t="str">
        <f>"1988/10/03"</f>
        <v>1988/10/03</v>
      </c>
      <c r="J538" t="str">
        <f>"824"</f>
        <v>824</v>
      </c>
      <c r="K538" t="s">
        <v>18</v>
      </c>
      <c r="L538" t="s">
        <v>18</v>
      </c>
      <c r="M538" t="str">
        <f>"19800821"</f>
        <v>19800821</v>
      </c>
    </row>
    <row r="539" spans="1:13" x14ac:dyDescent="0.25">
      <c r="A539" t="str">
        <f>"00410571"</f>
        <v>00410571</v>
      </c>
      <c r="B539" t="s">
        <v>1092</v>
      </c>
      <c r="C539" t="s">
        <v>62</v>
      </c>
      <c r="D539" t="s">
        <v>25</v>
      </c>
      <c r="E539" t="s">
        <v>26</v>
      </c>
      <c r="F539" t="s">
        <v>17</v>
      </c>
      <c r="G539" t="str">
        <f>"02"</f>
        <v>02</v>
      </c>
      <c r="H539" t="str">
        <f>"3  "</f>
        <v xml:space="preserve">3  </v>
      </c>
      <c r="I539" t="str">
        <f>"2019/12/03"</f>
        <v>2019/12/03</v>
      </c>
      <c r="J539" t="str">
        <f>"503"</f>
        <v>503</v>
      </c>
      <c r="K539" t="str">
        <f>"20210622"</f>
        <v>20210622</v>
      </c>
      <c r="L539" t="s">
        <v>18</v>
      </c>
      <c r="M539" t="str">
        <f>"20190823"</f>
        <v>20190823</v>
      </c>
    </row>
    <row r="540" spans="1:13" x14ac:dyDescent="0.25">
      <c r="A540" t="str">
        <f>"00154003"</f>
        <v>00154003</v>
      </c>
      <c r="B540" t="s">
        <v>1094</v>
      </c>
      <c r="C540" t="s">
        <v>426</v>
      </c>
      <c r="D540" t="s">
        <v>25</v>
      </c>
      <c r="E540" t="s">
        <v>26</v>
      </c>
      <c r="F540" t="s">
        <v>17</v>
      </c>
      <c r="G540" t="str">
        <f>"02"</f>
        <v>02</v>
      </c>
      <c r="H540" t="str">
        <f>"7  "</f>
        <v xml:space="preserve">7  </v>
      </c>
      <c r="I540" t="str">
        <f>"1984/07/13"</f>
        <v>1984/07/13</v>
      </c>
      <c r="J540" t="str">
        <f>"510"</f>
        <v>510</v>
      </c>
      <c r="K540" t="s">
        <v>18</v>
      </c>
      <c r="L540" t="str">
        <f>"20190610"</f>
        <v>20190610</v>
      </c>
      <c r="M540" t="str">
        <f>"19840627"</f>
        <v>19840627</v>
      </c>
    </row>
    <row r="541" spans="1:13" x14ac:dyDescent="0.25">
      <c r="A541" t="str">
        <f>"00604889"</f>
        <v>00604889</v>
      </c>
      <c r="B541" t="s">
        <v>1094</v>
      </c>
      <c r="C541" t="s">
        <v>58</v>
      </c>
      <c r="D541" t="s">
        <v>179</v>
      </c>
      <c r="E541" t="s">
        <v>26</v>
      </c>
      <c r="F541" t="s">
        <v>17</v>
      </c>
      <c r="G541" t="str">
        <f>"02"</f>
        <v>02</v>
      </c>
      <c r="H541" t="str">
        <f>"3  "</f>
        <v xml:space="preserve">3  </v>
      </c>
      <c r="I541" t="str">
        <f>"2018/05/25"</f>
        <v>2018/05/25</v>
      </c>
      <c r="J541" t="str">
        <f>"110"</f>
        <v>110</v>
      </c>
      <c r="K541" t="str">
        <f>"20270306"</f>
        <v>20270306</v>
      </c>
      <c r="L541" t="s">
        <v>18</v>
      </c>
      <c r="M541" t="str">
        <f>"20170718"</f>
        <v>20170718</v>
      </c>
    </row>
    <row r="542" spans="1:13" x14ac:dyDescent="0.25">
      <c r="A542" t="str">
        <f>"00624146"</f>
        <v>00624146</v>
      </c>
      <c r="B542" t="s">
        <v>1096</v>
      </c>
      <c r="C542" t="s">
        <v>184</v>
      </c>
      <c r="D542" t="s">
        <v>25</v>
      </c>
      <c r="E542" t="s">
        <v>16</v>
      </c>
      <c r="F542" t="s">
        <v>17</v>
      </c>
      <c r="G542" t="str">
        <f>"02"</f>
        <v>02</v>
      </c>
      <c r="H542" t="str">
        <f>"7  "</f>
        <v xml:space="preserve">7  </v>
      </c>
      <c r="I542" t="str">
        <f>"2010/05/28"</f>
        <v>2010/05/28</v>
      </c>
      <c r="J542" t="str">
        <f>"510"</f>
        <v>510</v>
      </c>
      <c r="K542" t="s">
        <v>18</v>
      </c>
      <c r="L542" t="s">
        <v>18</v>
      </c>
      <c r="M542" t="str">
        <f>"20080806"</f>
        <v>20080806</v>
      </c>
    </row>
    <row r="543" spans="1:13" x14ac:dyDescent="0.25">
      <c r="A543" t="str">
        <f>"00366472"</f>
        <v>00366472</v>
      </c>
      <c r="B543" t="s">
        <v>1096</v>
      </c>
      <c r="C543" t="s">
        <v>136</v>
      </c>
      <c r="D543" t="s">
        <v>61</v>
      </c>
      <c r="E543" t="s">
        <v>16</v>
      </c>
      <c r="F543" t="s">
        <v>17</v>
      </c>
      <c r="G543" t="str">
        <f>"02"</f>
        <v>02</v>
      </c>
      <c r="H543" t="str">
        <f>"3  "</f>
        <v xml:space="preserve">3  </v>
      </c>
      <c r="I543" t="str">
        <f>"2012/05/16"</f>
        <v>2012/05/16</v>
      </c>
      <c r="J543" t="str">
        <f>"110"</f>
        <v>110</v>
      </c>
      <c r="K543" t="str">
        <f>"20321126"</f>
        <v>20321126</v>
      </c>
      <c r="L543" t="str">
        <f>"20160926"</f>
        <v>20160926</v>
      </c>
      <c r="M543" t="str">
        <f>"20020927"</f>
        <v>20020927</v>
      </c>
    </row>
    <row r="544" spans="1:13" x14ac:dyDescent="0.25">
      <c r="A544" t="str">
        <f>"00186989"</f>
        <v>00186989</v>
      </c>
      <c r="B544" t="s">
        <v>1096</v>
      </c>
      <c r="C544" t="s">
        <v>1098</v>
      </c>
      <c r="D544" t="s">
        <v>25</v>
      </c>
      <c r="E544" t="s">
        <v>16</v>
      </c>
      <c r="F544" t="s">
        <v>17</v>
      </c>
      <c r="G544" t="str">
        <f>"02"</f>
        <v>02</v>
      </c>
      <c r="H544" t="str">
        <f>"7  "</f>
        <v xml:space="preserve">7  </v>
      </c>
      <c r="I544" t="str">
        <f>"1991/08/06"</f>
        <v>1991/08/06</v>
      </c>
      <c r="J544" t="str">
        <f>"114"</f>
        <v>114</v>
      </c>
      <c r="K544" t="s">
        <v>18</v>
      </c>
      <c r="L544" t="s">
        <v>18</v>
      </c>
      <c r="M544" t="str">
        <f>"19910120"</f>
        <v>19910120</v>
      </c>
    </row>
    <row r="545" spans="1:13" x14ac:dyDescent="0.25">
      <c r="A545" t="str">
        <f>"00300785"</f>
        <v>00300785</v>
      </c>
      <c r="B545" t="s">
        <v>1096</v>
      </c>
      <c r="C545" t="s">
        <v>346</v>
      </c>
      <c r="D545" t="s">
        <v>456</v>
      </c>
      <c r="E545" t="s">
        <v>16</v>
      </c>
      <c r="F545" t="s">
        <v>17</v>
      </c>
      <c r="G545" t="str">
        <f>"02"</f>
        <v>02</v>
      </c>
      <c r="H545" t="str">
        <f>"3  "</f>
        <v xml:space="preserve">3  </v>
      </c>
      <c r="I545" t="str">
        <f>"2015/03/04"</f>
        <v>2015/03/04</v>
      </c>
      <c r="J545" t="str">
        <f>"510"</f>
        <v>510</v>
      </c>
      <c r="K545" t="str">
        <f>"20270413"</f>
        <v>20270413</v>
      </c>
      <c r="L545" t="s">
        <v>18</v>
      </c>
      <c r="M545" t="str">
        <f>"20140204"</f>
        <v>20140204</v>
      </c>
    </row>
    <row r="546" spans="1:13" x14ac:dyDescent="0.25">
      <c r="A546" t="str">
        <f>"00852444"</f>
        <v>00852444</v>
      </c>
      <c r="B546" t="s">
        <v>1101</v>
      </c>
      <c r="C546" t="s">
        <v>1102</v>
      </c>
      <c r="D546" t="s">
        <v>21</v>
      </c>
      <c r="E546" t="s">
        <v>16</v>
      </c>
      <c r="F546" t="s">
        <v>17</v>
      </c>
      <c r="G546" t="str">
        <f>"02"</f>
        <v>02</v>
      </c>
      <c r="H546" t="str">
        <f>"3  "</f>
        <v xml:space="preserve">3  </v>
      </c>
      <c r="I546" t="str">
        <f>"2018/05/16"</f>
        <v>2018/05/16</v>
      </c>
      <c r="J546" t="str">
        <f>"503"</f>
        <v>503</v>
      </c>
      <c r="K546" t="str">
        <f>"20210528"</f>
        <v>20210528</v>
      </c>
      <c r="L546" t="s">
        <v>18</v>
      </c>
      <c r="M546" t="str">
        <f>"20180316"</f>
        <v>20180316</v>
      </c>
    </row>
    <row r="547" spans="1:13" x14ac:dyDescent="0.25">
      <c r="A547" t="str">
        <f>"00614945"</f>
        <v>00614945</v>
      </c>
      <c r="B547" t="s">
        <v>1103</v>
      </c>
      <c r="C547" t="s">
        <v>233</v>
      </c>
      <c r="D547" t="s">
        <v>25</v>
      </c>
      <c r="E547" t="s">
        <v>26</v>
      </c>
      <c r="F547" t="s">
        <v>17</v>
      </c>
      <c r="G547" t="str">
        <f>"02"</f>
        <v>02</v>
      </c>
      <c r="H547" t="str">
        <f>"7  "</f>
        <v xml:space="preserve">7  </v>
      </c>
      <c r="I547" t="str">
        <f>"2016/05/04"</f>
        <v>2016/05/04</v>
      </c>
      <c r="J547" t="str">
        <f>"510"</f>
        <v>510</v>
      </c>
      <c r="K547" t="s">
        <v>18</v>
      </c>
      <c r="L547" t="s">
        <v>18</v>
      </c>
      <c r="M547" t="str">
        <f>"20150110"</f>
        <v>20150110</v>
      </c>
    </row>
    <row r="548" spans="1:13" x14ac:dyDescent="0.25">
      <c r="A548" t="str">
        <f>"00119252"</f>
        <v>00119252</v>
      </c>
      <c r="B548" t="s">
        <v>1104</v>
      </c>
      <c r="C548" t="s">
        <v>133</v>
      </c>
      <c r="D548" t="s">
        <v>182</v>
      </c>
      <c r="E548" t="s">
        <v>26</v>
      </c>
      <c r="F548" t="s">
        <v>17</v>
      </c>
      <c r="G548" t="str">
        <f>"02"</f>
        <v>02</v>
      </c>
      <c r="H548" t="str">
        <f>"7  "</f>
        <v xml:space="preserve">7  </v>
      </c>
      <c r="I548" t="str">
        <f>"2012/02/16"</f>
        <v>2012/02/16</v>
      </c>
      <c r="J548" t="str">
        <f>"503"</f>
        <v>503</v>
      </c>
      <c r="K548" t="s">
        <v>18</v>
      </c>
      <c r="L548" t="str">
        <f>"20170626"</f>
        <v>20170626</v>
      </c>
      <c r="M548" t="str">
        <f>"19840619"</f>
        <v>19840619</v>
      </c>
    </row>
    <row r="549" spans="1:13" x14ac:dyDescent="0.25">
      <c r="A549" t="str">
        <f>"00437410"</f>
        <v>00437410</v>
      </c>
      <c r="B549" t="s">
        <v>1110</v>
      </c>
      <c r="C549" t="s">
        <v>1112</v>
      </c>
      <c r="D549" t="s">
        <v>25</v>
      </c>
      <c r="E549" t="s">
        <v>26</v>
      </c>
      <c r="F549" t="s">
        <v>17</v>
      </c>
      <c r="G549" t="str">
        <f>"02"</f>
        <v>02</v>
      </c>
      <c r="H549" t="str">
        <f>"3  "</f>
        <v xml:space="preserve">3  </v>
      </c>
      <c r="I549" t="str">
        <f>"2010/08/17"</f>
        <v>2010/08/17</v>
      </c>
      <c r="J549" t="str">
        <f>"503"</f>
        <v>503</v>
      </c>
      <c r="K549" t="str">
        <f>"20230725"</f>
        <v>20230725</v>
      </c>
      <c r="L549" t="s">
        <v>18</v>
      </c>
      <c r="M549" t="str">
        <f>"20091104"</f>
        <v>20091104</v>
      </c>
    </row>
    <row r="550" spans="1:13" x14ac:dyDescent="0.25">
      <c r="A550" t="str">
        <f>"00628194"</f>
        <v>00628194</v>
      </c>
      <c r="B550" t="s">
        <v>1113</v>
      </c>
      <c r="C550" t="s">
        <v>369</v>
      </c>
      <c r="D550" t="s">
        <v>15</v>
      </c>
      <c r="E550" t="s">
        <v>26</v>
      </c>
      <c r="F550" t="s">
        <v>17</v>
      </c>
      <c r="G550" t="str">
        <f>"02"</f>
        <v>02</v>
      </c>
      <c r="H550" t="str">
        <f>"3  "</f>
        <v xml:space="preserve">3  </v>
      </c>
      <c r="I550" t="str">
        <f>"2020/09/02"</f>
        <v>2020/09/02</v>
      </c>
      <c r="J550" t="str">
        <f>"533"</f>
        <v>533</v>
      </c>
      <c r="K550" t="str">
        <f>"20261031"</f>
        <v>20261031</v>
      </c>
      <c r="L550" t="s">
        <v>18</v>
      </c>
      <c r="M550" t="str">
        <f>"20160308"</f>
        <v>20160308</v>
      </c>
    </row>
    <row r="551" spans="1:13" x14ac:dyDescent="0.25">
      <c r="A551" t="str">
        <f>"00414271"</f>
        <v>00414271</v>
      </c>
      <c r="B551" t="s">
        <v>1114</v>
      </c>
      <c r="C551" t="s">
        <v>148</v>
      </c>
      <c r="D551" t="s">
        <v>142</v>
      </c>
      <c r="E551" t="s">
        <v>26</v>
      </c>
      <c r="F551" t="s">
        <v>17</v>
      </c>
      <c r="G551" t="str">
        <f>"02"</f>
        <v>02</v>
      </c>
      <c r="H551" t="str">
        <f>"7  "</f>
        <v xml:space="preserve">7  </v>
      </c>
      <c r="I551" t="str">
        <f>"2017/12/13"</f>
        <v>2017/12/13</v>
      </c>
      <c r="J551" t="str">
        <f>"110"</f>
        <v>110</v>
      </c>
      <c r="K551" t="s">
        <v>18</v>
      </c>
      <c r="L551" t="s">
        <v>18</v>
      </c>
      <c r="M551" t="str">
        <f>"20151216"</f>
        <v>20151216</v>
      </c>
    </row>
    <row r="552" spans="1:13" x14ac:dyDescent="0.25">
      <c r="A552" t="str">
        <f>"00607243"</f>
        <v>00607243</v>
      </c>
      <c r="B552" t="s">
        <v>1117</v>
      </c>
      <c r="C552" t="s">
        <v>1119</v>
      </c>
      <c r="D552" t="s">
        <v>121</v>
      </c>
      <c r="E552" t="s">
        <v>26</v>
      </c>
      <c r="F552" t="s">
        <v>17</v>
      </c>
      <c r="G552" t="str">
        <f>"02"</f>
        <v>02</v>
      </c>
      <c r="H552" t="str">
        <f>"3  "</f>
        <v xml:space="preserve">3  </v>
      </c>
      <c r="I552" t="str">
        <f>"2018/10/01"</f>
        <v>2018/10/01</v>
      </c>
      <c r="J552" t="str">
        <f>"503"</f>
        <v>503</v>
      </c>
      <c r="K552" t="str">
        <f>"20201104"</f>
        <v>20201104</v>
      </c>
      <c r="L552" t="s">
        <v>18</v>
      </c>
      <c r="M552" t="str">
        <f>"20180307"</f>
        <v>20180307</v>
      </c>
    </row>
    <row r="553" spans="1:13" x14ac:dyDescent="0.25">
      <c r="A553" t="str">
        <f>"00140490"</f>
        <v>00140490</v>
      </c>
      <c r="B553" t="s">
        <v>1124</v>
      </c>
      <c r="C553" t="s">
        <v>181</v>
      </c>
      <c r="D553" t="s">
        <v>80</v>
      </c>
      <c r="E553" t="s">
        <v>16</v>
      </c>
      <c r="F553" t="s">
        <v>17</v>
      </c>
      <c r="G553" t="str">
        <f>"02"</f>
        <v>02</v>
      </c>
      <c r="H553" t="str">
        <f>"3  "</f>
        <v xml:space="preserve">3  </v>
      </c>
      <c r="I553" t="str">
        <f>"2008/03/03"</f>
        <v>2008/03/03</v>
      </c>
      <c r="J553" t="str">
        <f>"510"</f>
        <v>510</v>
      </c>
      <c r="K553" t="str">
        <f>"20490531"</f>
        <v>20490531</v>
      </c>
      <c r="L553" t="s">
        <v>18</v>
      </c>
      <c r="M553" t="str">
        <f>"20070209"</f>
        <v>20070209</v>
      </c>
    </row>
    <row r="554" spans="1:13" x14ac:dyDescent="0.25">
      <c r="A554" t="str">
        <f>"00632150"</f>
        <v>00632150</v>
      </c>
      <c r="B554" t="s">
        <v>1125</v>
      </c>
      <c r="C554" t="s">
        <v>1126</v>
      </c>
      <c r="D554" t="s">
        <v>51</v>
      </c>
      <c r="E554" t="s">
        <v>26</v>
      </c>
      <c r="F554" t="s">
        <v>17</v>
      </c>
      <c r="G554" t="str">
        <f>"02"</f>
        <v>02</v>
      </c>
      <c r="H554" t="str">
        <f>"3  "</f>
        <v xml:space="preserve">3  </v>
      </c>
      <c r="I554" t="str">
        <f>"2019/04/01"</f>
        <v>2019/04/01</v>
      </c>
      <c r="J554" t="str">
        <f>"510"</f>
        <v>510</v>
      </c>
      <c r="K554" t="str">
        <f>"20210125"</f>
        <v>20210125</v>
      </c>
      <c r="L554" t="s">
        <v>18</v>
      </c>
      <c r="M554" t="str">
        <f>"20161115"</f>
        <v>20161115</v>
      </c>
    </row>
    <row r="555" spans="1:13" x14ac:dyDescent="0.25">
      <c r="A555" t="str">
        <f>"00218724"</f>
        <v>00218724</v>
      </c>
      <c r="B555" t="s">
        <v>1127</v>
      </c>
      <c r="C555" t="s">
        <v>96</v>
      </c>
      <c r="D555" t="s">
        <v>51</v>
      </c>
      <c r="E555" t="s">
        <v>16</v>
      </c>
      <c r="F555" t="s">
        <v>17</v>
      </c>
      <c r="G555" t="str">
        <f>"02"</f>
        <v>02</v>
      </c>
      <c r="H555" t="str">
        <f>"3  "</f>
        <v xml:space="preserve">3  </v>
      </c>
      <c r="I555" t="str">
        <f>"2010/08/06"</f>
        <v>2010/08/06</v>
      </c>
      <c r="J555" t="str">
        <f>"531"</f>
        <v>531</v>
      </c>
      <c r="K555" t="str">
        <f>"20420823"</f>
        <v>20420823</v>
      </c>
      <c r="L555" t="s">
        <v>18</v>
      </c>
      <c r="M555" t="str">
        <f>"20050504"</f>
        <v>20050504</v>
      </c>
    </row>
    <row r="556" spans="1:13" x14ac:dyDescent="0.25">
      <c r="A556" t="str">
        <f>"00232909"</f>
        <v>00232909</v>
      </c>
      <c r="B556" t="s">
        <v>1128</v>
      </c>
      <c r="C556" t="s">
        <v>124</v>
      </c>
      <c r="D556" t="s">
        <v>15</v>
      </c>
      <c r="E556" t="s">
        <v>26</v>
      </c>
      <c r="F556" t="s">
        <v>17</v>
      </c>
      <c r="G556" t="str">
        <f>"02"</f>
        <v>02</v>
      </c>
      <c r="H556" t="str">
        <f>"3  "</f>
        <v xml:space="preserve">3  </v>
      </c>
      <c r="I556" t="str">
        <f>"2020/09/02"</f>
        <v>2020/09/02</v>
      </c>
      <c r="J556" t="str">
        <f>"533"</f>
        <v>533</v>
      </c>
      <c r="K556" t="str">
        <f>"20461121"</f>
        <v>20461121</v>
      </c>
      <c r="L556" t="s">
        <v>18</v>
      </c>
      <c r="M556" t="str">
        <f>"20060728"</f>
        <v>20060728</v>
      </c>
    </row>
    <row r="557" spans="1:13" x14ac:dyDescent="0.25">
      <c r="A557" t="str">
        <f>"00507679"</f>
        <v>00507679</v>
      </c>
      <c r="B557" t="s">
        <v>1131</v>
      </c>
      <c r="C557" t="s">
        <v>14</v>
      </c>
      <c r="D557" t="s">
        <v>51</v>
      </c>
      <c r="E557" t="s">
        <v>26</v>
      </c>
      <c r="F557" t="s">
        <v>17</v>
      </c>
      <c r="G557" t="str">
        <f>"02"</f>
        <v>02</v>
      </c>
      <c r="H557" t="str">
        <f>"3  "</f>
        <v xml:space="preserve">3  </v>
      </c>
      <c r="I557" t="str">
        <f>"2019/04/05"</f>
        <v>2019/04/05</v>
      </c>
      <c r="J557" t="str">
        <f>"510"</f>
        <v>510</v>
      </c>
      <c r="K557" t="str">
        <f>"20260201"</f>
        <v>20260201</v>
      </c>
      <c r="L557" t="s">
        <v>18</v>
      </c>
      <c r="M557" t="str">
        <f>"20140201"</f>
        <v>20140201</v>
      </c>
    </row>
    <row r="558" spans="1:13" x14ac:dyDescent="0.25">
      <c r="A558" t="str">
        <f>"00416090"</f>
        <v>00416090</v>
      </c>
      <c r="B558" t="s">
        <v>1133</v>
      </c>
      <c r="C558" t="s">
        <v>251</v>
      </c>
      <c r="D558" t="s">
        <v>25</v>
      </c>
      <c r="E558" t="s">
        <v>26</v>
      </c>
      <c r="F558" t="s">
        <v>17</v>
      </c>
      <c r="G558" t="str">
        <f>"02"</f>
        <v>02</v>
      </c>
      <c r="H558" t="str">
        <f>"3  "</f>
        <v xml:space="preserve">3  </v>
      </c>
      <c r="I558" t="str">
        <f>"2005/09/12"</f>
        <v>2005/09/12</v>
      </c>
      <c r="J558" t="str">
        <f>"510"</f>
        <v>510</v>
      </c>
      <c r="K558" t="str">
        <f>"20700629"</f>
        <v>20700629</v>
      </c>
      <c r="L558" t="s">
        <v>18</v>
      </c>
      <c r="M558" t="str">
        <f>"20031031"</f>
        <v>20031031</v>
      </c>
    </row>
    <row r="559" spans="1:13" x14ac:dyDescent="0.25">
      <c r="A559" t="str">
        <f>"00468058"</f>
        <v>00468058</v>
      </c>
      <c r="B559" t="s">
        <v>1137</v>
      </c>
      <c r="C559" t="s">
        <v>14</v>
      </c>
      <c r="D559" t="s">
        <v>61</v>
      </c>
      <c r="E559" t="s">
        <v>26</v>
      </c>
      <c r="F559" t="s">
        <v>17</v>
      </c>
      <c r="G559" t="str">
        <f>"02"</f>
        <v>02</v>
      </c>
      <c r="H559" t="str">
        <f>"3  "</f>
        <v xml:space="preserve">3  </v>
      </c>
      <c r="I559" t="str">
        <f>"2018/02/20"</f>
        <v>2018/02/20</v>
      </c>
      <c r="J559" t="str">
        <f>"110"</f>
        <v>110</v>
      </c>
      <c r="K559" t="str">
        <f>"20201029"</f>
        <v>20201029</v>
      </c>
      <c r="L559" t="s">
        <v>18</v>
      </c>
      <c r="M559" t="str">
        <f>"20180220"</f>
        <v>20180220</v>
      </c>
    </row>
    <row r="560" spans="1:13" x14ac:dyDescent="0.25">
      <c r="A560" t="str">
        <f>"00464682"</f>
        <v>00464682</v>
      </c>
      <c r="B560" t="s">
        <v>1137</v>
      </c>
      <c r="C560" t="s">
        <v>1138</v>
      </c>
      <c r="D560" t="s">
        <v>25</v>
      </c>
      <c r="E560" t="s">
        <v>26</v>
      </c>
      <c r="F560" t="s">
        <v>17</v>
      </c>
      <c r="G560" t="str">
        <f>"02"</f>
        <v>02</v>
      </c>
      <c r="H560" t="str">
        <f>"7  "</f>
        <v xml:space="preserve">7  </v>
      </c>
      <c r="I560" t="str">
        <f>"2020/09/16"</f>
        <v>2020/09/16</v>
      </c>
      <c r="J560" t="str">
        <f>"533"</f>
        <v>533</v>
      </c>
      <c r="K560" t="s">
        <v>18</v>
      </c>
      <c r="L560" t="s">
        <v>18</v>
      </c>
      <c r="M560" t="str">
        <f>"20010731"</f>
        <v>20010731</v>
      </c>
    </row>
    <row r="561" spans="1:13" x14ac:dyDescent="0.25">
      <c r="A561" t="str">
        <f>"00725662"</f>
        <v>00725662</v>
      </c>
      <c r="B561" t="s">
        <v>1137</v>
      </c>
      <c r="C561" t="s">
        <v>96</v>
      </c>
      <c r="D561" t="s">
        <v>25</v>
      </c>
      <c r="E561" t="s">
        <v>26</v>
      </c>
      <c r="F561" t="s">
        <v>17</v>
      </c>
      <c r="G561" t="str">
        <f>"02"</f>
        <v>02</v>
      </c>
      <c r="H561" t="str">
        <f>"3  "</f>
        <v xml:space="preserve">3  </v>
      </c>
      <c r="I561" t="str">
        <f>"2016/01/29"</f>
        <v>2016/01/29</v>
      </c>
      <c r="J561" t="str">
        <f>"510"</f>
        <v>510</v>
      </c>
      <c r="K561" t="str">
        <f>"20230704"</f>
        <v>20230704</v>
      </c>
      <c r="L561" t="s">
        <v>18</v>
      </c>
      <c r="M561" t="str">
        <f>"20140620"</f>
        <v>20140620</v>
      </c>
    </row>
    <row r="562" spans="1:13" x14ac:dyDescent="0.25">
      <c r="A562" t="str">
        <f>"00669014"</f>
        <v>00669014</v>
      </c>
      <c r="B562" t="s">
        <v>1137</v>
      </c>
      <c r="C562" t="s">
        <v>398</v>
      </c>
      <c r="D562" t="s">
        <v>80</v>
      </c>
      <c r="E562" t="s">
        <v>26</v>
      </c>
      <c r="F562" t="s">
        <v>17</v>
      </c>
      <c r="G562" t="str">
        <f>"02"</f>
        <v>02</v>
      </c>
      <c r="H562" t="str">
        <f>"3  "</f>
        <v xml:space="preserve">3  </v>
      </c>
      <c r="I562" t="str">
        <f>"2015/12/18"</f>
        <v>2015/12/18</v>
      </c>
      <c r="J562" t="str">
        <f>"503"</f>
        <v>503</v>
      </c>
      <c r="K562" t="str">
        <f>"20210818"</f>
        <v>20210818</v>
      </c>
      <c r="L562" t="s">
        <v>18</v>
      </c>
      <c r="M562" t="str">
        <f>"20140824"</f>
        <v>20140824</v>
      </c>
    </row>
    <row r="563" spans="1:13" x14ac:dyDescent="0.25">
      <c r="A563" t="str">
        <f>"00355256"</f>
        <v>00355256</v>
      </c>
      <c r="B563" t="s">
        <v>1137</v>
      </c>
      <c r="C563" t="s">
        <v>124</v>
      </c>
      <c r="D563" t="s">
        <v>21</v>
      </c>
      <c r="E563" t="s">
        <v>26</v>
      </c>
      <c r="F563" t="s">
        <v>17</v>
      </c>
      <c r="G563" t="str">
        <f>"02"</f>
        <v>02</v>
      </c>
      <c r="H563" t="str">
        <f>"3  "</f>
        <v xml:space="preserve">3  </v>
      </c>
      <c r="I563" t="str">
        <f>"2016/12/02"</f>
        <v>2016/12/02</v>
      </c>
      <c r="J563" t="str">
        <f>"510"</f>
        <v>510</v>
      </c>
      <c r="K563" t="str">
        <f>"20270605"</f>
        <v>20270605</v>
      </c>
      <c r="L563" t="s">
        <v>18</v>
      </c>
      <c r="M563" t="str">
        <f>"20150904"</f>
        <v>20150904</v>
      </c>
    </row>
    <row r="564" spans="1:13" x14ac:dyDescent="0.25">
      <c r="A564" t="str">
        <f>"00419302"</f>
        <v>00419302</v>
      </c>
      <c r="B564" t="s">
        <v>1137</v>
      </c>
      <c r="C564" t="s">
        <v>1142</v>
      </c>
      <c r="D564" t="s">
        <v>25</v>
      </c>
      <c r="E564" t="s">
        <v>26</v>
      </c>
      <c r="F564" t="s">
        <v>17</v>
      </c>
      <c r="G564" t="str">
        <f>"02"</f>
        <v>02</v>
      </c>
      <c r="H564" t="str">
        <f>"3  "</f>
        <v xml:space="preserve">3  </v>
      </c>
      <c r="I564" t="str">
        <f>"2017/01/06"</f>
        <v>2017/01/06</v>
      </c>
      <c r="J564" t="str">
        <f>"510"</f>
        <v>510</v>
      </c>
      <c r="K564" t="str">
        <f>"20220328"</f>
        <v>20220328</v>
      </c>
      <c r="L564" t="s">
        <v>18</v>
      </c>
      <c r="M564" t="str">
        <f>"20130711"</f>
        <v>20130711</v>
      </c>
    </row>
    <row r="565" spans="1:13" x14ac:dyDescent="0.25">
      <c r="A565" t="str">
        <f>"00447153"</f>
        <v>00447153</v>
      </c>
      <c r="B565" t="s">
        <v>1145</v>
      </c>
      <c r="C565" t="s">
        <v>96</v>
      </c>
      <c r="D565" t="s">
        <v>16</v>
      </c>
      <c r="E565" t="s">
        <v>26</v>
      </c>
      <c r="F565" t="s">
        <v>17</v>
      </c>
      <c r="G565" t="str">
        <f>"02"</f>
        <v>02</v>
      </c>
      <c r="H565" t="str">
        <f>"1  "</f>
        <v xml:space="preserve">1  </v>
      </c>
      <c r="I565" t="str">
        <f>"2020/09/15"</f>
        <v>2020/09/15</v>
      </c>
      <c r="J565" t="str">
        <f>"110"</f>
        <v>110</v>
      </c>
      <c r="K565" t="str">
        <f>"20210914"</f>
        <v>20210914</v>
      </c>
      <c r="L565" t="s">
        <v>18</v>
      </c>
      <c r="M565" t="str">
        <f>"20200915"</f>
        <v>20200915</v>
      </c>
    </row>
    <row r="566" spans="1:13" x14ac:dyDescent="0.25">
      <c r="A566" t="str">
        <f>"00153086"</f>
        <v>00153086</v>
      </c>
      <c r="B566" t="s">
        <v>1149</v>
      </c>
      <c r="C566" t="s">
        <v>524</v>
      </c>
      <c r="D566" t="s">
        <v>51</v>
      </c>
      <c r="E566" t="s">
        <v>16</v>
      </c>
      <c r="F566" t="s">
        <v>17</v>
      </c>
      <c r="G566" t="str">
        <f>"02"</f>
        <v>02</v>
      </c>
      <c r="H566" t="str">
        <f>"3  "</f>
        <v xml:space="preserve">3  </v>
      </c>
      <c r="I566" t="str">
        <f>"2016/03/30"</f>
        <v>2016/03/30</v>
      </c>
      <c r="J566" t="str">
        <f>"510"</f>
        <v>510</v>
      </c>
      <c r="K566" t="str">
        <f>"20310628"</f>
        <v>20310628</v>
      </c>
      <c r="L566" t="s">
        <v>18</v>
      </c>
      <c r="M566" t="str">
        <f>"20140127"</f>
        <v>20140127</v>
      </c>
    </row>
    <row r="567" spans="1:13" x14ac:dyDescent="0.25">
      <c r="A567" t="str">
        <f>"00640156"</f>
        <v>00640156</v>
      </c>
      <c r="B567" t="s">
        <v>1151</v>
      </c>
      <c r="C567" t="s">
        <v>811</v>
      </c>
      <c r="D567" t="s">
        <v>15</v>
      </c>
      <c r="E567" t="s">
        <v>26</v>
      </c>
      <c r="F567" t="s">
        <v>17</v>
      </c>
      <c r="G567" t="str">
        <f>"02"</f>
        <v>02</v>
      </c>
      <c r="H567" t="str">
        <f>"3  "</f>
        <v xml:space="preserve">3  </v>
      </c>
      <c r="I567" t="str">
        <f>"2019/02/14"</f>
        <v>2019/02/14</v>
      </c>
      <c r="J567" t="str">
        <f>"533"</f>
        <v>533</v>
      </c>
      <c r="K567" t="str">
        <f>"20260518"</f>
        <v>20260518</v>
      </c>
      <c r="L567" t="s">
        <v>18</v>
      </c>
      <c r="M567" t="str">
        <f>"20100724"</f>
        <v>20100724</v>
      </c>
    </row>
    <row r="568" spans="1:13" x14ac:dyDescent="0.25">
      <c r="A568" t="str">
        <f>"00164717"</f>
        <v>00164717</v>
      </c>
      <c r="B568" t="s">
        <v>1151</v>
      </c>
      <c r="C568" t="s">
        <v>136</v>
      </c>
      <c r="D568" t="s">
        <v>37</v>
      </c>
      <c r="E568" t="s">
        <v>26</v>
      </c>
      <c r="F568" t="s">
        <v>17</v>
      </c>
      <c r="G568" t="str">
        <f>"02"</f>
        <v>02</v>
      </c>
      <c r="H568" t="str">
        <f>"3  "</f>
        <v xml:space="preserve">3  </v>
      </c>
      <c r="I568" t="str">
        <f>"2014/12/12"</f>
        <v>2014/12/12</v>
      </c>
      <c r="J568" t="str">
        <f>"510"</f>
        <v>510</v>
      </c>
      <c r="K568" t="str">
        <f>"20220123"</f>
        <v>20220123</v>
      </c>
      <c r="L568" t="s">
        <v>18</v>
      </c>
      <c r="M568" t="str">
        <f>"20131103"</f>
        <v>20131103</v>
      </c>
    </row>
    <row r="569" spans="1:13" x14ac:dyDescent="0.25">
      <c r="A569" t="str">
        <f>"00411309"</f>
        <v>00411309</v>
      </c>
      <c r="B569" t="s">
        <v>1151</v>
      </c>
      <c r="C569" t="s">
        <v>258</v>
      </c>
      <c r="D569" t="s">
        <v>61</v>
      </c>
      <c r="E569" t="s">
        <v>26</v>
      </c>
      <c r="F569" t="s">
        <v>17</v>
      </c>
      <c r="G569" t="str">
        <f>"02"</f>
        <v>02</v>
      </c>
      <c r="H569" t="str">
        <f>"3  "</f>
        <v xml:space="preserve">3  </v>
      </c>
      <c r="I569" t="str">
        <f>"2015/10/13"</f>
        <v>2015/10/13</v>
      </c>
      <c r="J569" t="str">
        <f>"510"</f>
        <v>510</v>
      </c>
      <c r="K569" t="str">
        <f>"20220102"</f>
        <v>20220102</v>
      </c>
      <c r="L569" t="s">
        <v>18</v>
      </c>
      <c r="M569" t="str">
        <f>"20141003"</f>
        <v>20141003</v>
      </c>
    </row>
    <row r="570" spans="1:13" x14ac:dyDescent="0.25">
      <c r="A570" t="str">
        <f>"00140611"</f>
        <v>00140611</v>
      </c>
      <c r="B570" t="s">
        <v>1151</v>
      </c>
      <c r="C570" t="s">
        <v>246</v>
      </c>
      <c r="D570" t="s">
        <v>40</v>
      </c>
      <c r="E570" t="s">
        <v>26</v>
      </c>
      <c r="F570" t="s">
        <v>17</v>
      </c>
      <c r="G570" t="str">
        <f>"02"</f>
        <v>02</v>
      </c>
      <c r="H570" t="str">
        <f>"7  "</f>
        <v xml:space="preserve">7  </v>
      </c>
      <c r="I570" t="str">
        <f>"1999/12/03"</f>
        <v>1999/12/03</v>
      </c>
      <c r="J570" t="str">
        <f>"510"</f>
        <v>510</v>
      </c>
      <c r="K570" t="s">
        <v>18</v>
      </c>
      <c r="L570" t="s">
        <v>18</v>
      </c>
      <c r="M570" t="str">
        <f>"19981208"</f>
        <v>19981208</v>
      </c>
    </row>
    <row r="571" spans="1:13" x14ac:dyDescent="0.25">
      <c r="A571" t="str">
        <f>"00159694"</f>
        <v>00159694</v>
      </c>
      <c r="B571" t="s">
        <v>1151</v>
      </c>
      <c r="C571" t="s">
        <v>96</v>
      </c>
      <c r="D571" t="s">
        <v>25</v>
      </c>
      <c r="E571" t="s">
        <v>26</v>
      </c>
      <c r="F571" t="s">
        <v>17</v>
      </c>
      <c r="G571" t="str">
        <f>"02"</f>
        <v>02</v>
      </c>
      <c r="H571" t="str">
        <f>"3  "</f>
        <v xml:space="preserve">3  </v>
      </c>
      <c r="I571" t="str">
        <f>"1989/11/17"</f>
        <v>1989/11/17</v>
      </c>
      <c r="J571" t="str">
        <f>"502"</f>
        <v>502</v>
      </c>
      <c r="K571" t="str">
        <f>"20470713"</f>
        <v>20470713</v>
      </c>
      <c r="L571" t="str">
        <f>"20191128"</f>
        <v>20191128</v>
      </c>
      <c r="M571" t="str">
        <f>"19881129"</f>
        <v>19881129</v>
      </c>
    </row>
    <row r="572" spans="1:13" x14ac:dyDescent="0.25">
      <c r="A572" t="str">
        <f>"00728662"</f>
        <v>00728662</v>
      </c>
      <c r="B572" t="s">
        <v>1151</v>
      </c>
      <c r="C572" t="s">
        <v>96</v>
      </c>
      <c r="D572" t="s">
        <v>91</v>
      </c>
      <c r="E572" t="s">
        <v>16</v>
      </c>
      <c r="F572" t="s">
        <v>17</v>
      </c>
      <c r="G572" t="str">
        <f>"02"</f>
        <v>02</v>
      </c>
      <c r="H572" t="str">
        <f>"3  "</f>
        <v xml:space="preserve">3  </v>
      </c>
      <c r="I572" t="str">
        <f>"2013/12/09"</f>
        <v>2013/12/09</v>
      </c>
      <c r="J572" t="str">
        <f>"110"</f>
        <v>110</v>
      </c>
      <c r="K572" t="str">
        <f>"20211221"</f>
        <v>20211221</v>
      </c>
      <c r="L572" t="s">
        <v>18</v>
      </c>
      <c r="M572" t="str">
        <f>"20121019"</f>
        <v>20121019</v>
      </c>
    </row>
    <row r="573" spans="1:13" x14ac:dyDescent="0.25">
      <c r="A573" t="str">
        <f>"00286216"</f>
        <v>00286216</v>
      </c>
      <c r="B573" t="s">
        <v>1151</v>
      </c>
      <c r="C573" t="s">
        <v>74</v>
      </c>
      <c r="D573" t="s">
        <v>15</v>
      </c>
      <c r="E573" t="s">
        <v>16</v>
      </c>
      <c r="F573" t="s">
        <v>17</v>
      </c>
      <c r="G573" t="str">
        <f>"02"</f>
        <v>02</v>
      </c>
      <c r="H573" t="str">
        <f>"7  "</f>
        <v xml:space="preserve">7  </v>
      </c>
      <c r="I573" t="str">
        <f>"1997/05/19"</f>
        <v>1997/05/19</v>
      </c>
      <c r="J573" t="str">
        <f>"503"</f>
        <v>503</v>
      </c>
      <c r="K573" t="s">
        <v>18</v>
      </c>
      <c r="L573" t="s">
        <v>18</v>
      </c>
      <c r="M573" t="str">
        <f>"19921111"</f>
        <v>19921111</v>
      </c>
    </row>
    <row r="574" spans="1:13" x14ac:dyDescent="0.25">
      <c r="A574" t="str">
        <f>"00846754"</f>
        <v>00846754</v>
      </c>
      <c r="B574" t="s">
        <v>1151</v>
      </c>
      <c r="C574" t="s">
        <v>74</v>
      </c>
      <c r="D574" t="s">
        <v>53</v>
      </c>
      <c r="E574" t="s">
        <v>26</v>
      </c>
      <c r="F574" t="s">
        <v>17</v>
      </c>
      <c r="G574" t="str">
        <f>"02"</f>
        <v>02</v>
      </c>
      <c r="H574" t="str">
        <f>"3  "</f>
        <v xml:space="preserve">3  </v>
      </c>
      <c r="I574" t="str">
        <f>"2019/12/20"</f>
        <v>2019/12/20</v>
      </c>
      <c r="J574" t="str">
        <f>"510"</f>
        <v>510</v>
      </c>
      <c r="K574" t="str">
        <f>"20221223"</f>
        <v>20221223</v>
      </c>
      <c r="L574" t="s">
        <v>18</v>
      </c>
      <c r="M574" t="str">
        <f>"20180620"</f>
        <v>20180620</v>
      </c>
    </row>
    <row r="575" spans="1:13" x14ac:dyDescent="0.25">
      <c r="A575" t="str">
        <f>"00294690"</f>
        <v>00294690</v>
      </c>
      <c r="B575" t="s">
        <v>1151</v>
      </c>
      <c r="C575" t="s">
        <v>1159</v>
      </c>
      <c r="D575" t="s">
        <v>45</v>
      </c>
      <c r="E575" t="s">
        <v>16</v>
      </c>
      <c r="F575" t="s">
        <v>17</v>
      </c>
      <c r="G575" t="str">
        <f>"02"</f>
        <v>02</v>
      </c>
      <c r="H575" t="str">
        <f>"3  "</f>
        <v xml:space="preserve">3  </v>
      </c>
      <c r="I575" t="str">
        <f>"2009/06/25"</f>
        <v>2009/06/25</v>
      </c>
      <c r="J575" t="str">
        <f>"510"</f>
        <v>510</v>
      </c>
      <c r="K575" t="str">
        <f>"20470916"</f>
        <v>20470916</v>
      </c>
      <c r="L575" t="s">
        <v>18</v>
      </c>
      <c r="M575" t="str">
        <f>"20080409"</f>
        <v>20080409</v>
      </c>
    </row>
    <row r="576" spans="1:13" x14ac:dyDescent="0.25">
      <c r="A576" t="str">
        <f>"00096178"</f>
        <v>00096178</v>
      </c>
      <c r="B576" t="s">
        <v>1151</v>
      </c>
      <c r="C576" t="s">
        <v>22</v>
      </c>
      <c r="D576" t="s">
        <v>73</v>
      </c>
      <c r="E576" t="s">
        <v>16</v>
      </c>
      <c r="F576" t="s">
        <v>17</v>
      </c>
      <c r="G576" t="str">
        <f>"02"</f>
        <v>02</v>
      </c>
      <c r="H576" t="str">
        <f>"7  "</f>
        <v xml:space="preserve">7  </v>
      </c>
      <c r="I576" t="str">
        <f>"1985/11/08"</f>
        <v>1985/11/08</v>
      </c>
      <c r="J576" t="str">
        <f>"510"</f>
        <v>510</v>
      </c>
      <c r="K576" t="s">
        <v>18</v>
      </c>
      <c r="L576" t="s">
        <v>18</v>
      </c>
      <c r="M576" t="str">
        <f>"19850401"</f>
        <v>19850401</v>
      </c>
    </row>
    <row r="577" spans="1:13" x14ac:dyDescent="0.25">
      <c r="A577" t="str">
        <f>"00143241"</f>
        <v>00143241</v>
      </c>
      <c r="B577" t="s">
        <v>1151</v>
      </c>
      <c r="C577" t="s">
        <v>657</v>
      </c>
      <c r="D577" t="s">
        <v>21</v>
      </c>
      <c r="E577" t="s">
        <v>26</v>
      </c>
      <c r="F577" t="s">
        <v>17</v>
      </c>
      <c r="G577" t="str">
        <f>"02"</f>
        <v>02</v>
      </c>
      <c r="H577" t="str">
        <f>"7  "</f>
        <v xml:space="preserve">7  </v>
      </c>
      <c r="I577" t="str">
        <f>"1987/03/25"</f>
        <v>1987/03/25</v>
      </c>
      <c r="J577" t="str">
        <f>"114"</f>
        <v>114</v>
      </c>
      <c r="K577" t="s">
        <v>18</v>
      </c>
      <c r="L577" t="s">
        <v>18</v>
      </c>
      <c r="M577" t="str">
        <f>"19860411"</f>
        <v>19860411</v>
      </c>
    </row>
    <row r="578" spans="1:13" x14ac:dyDescent="0.25">
      <c r="A578" t="str">
        <f>"00346256"</f>
        <v>00346256</v>
      </c>
      <c r="B578" t="s">
        <v>1151</v>
      </c>
      <c r="C578" t="s">
        <v>358</v>
      </c>
      <c r="D578" t="s">
        <v>25</v>
      </c>
      <c r="E578" t="s">
        <v>26</v>
      </c>
      <c r="F578" t="s">
        <v>17</v>
      </c>
      <c r="G578" t="str">
        <f>"02"</f>
        <v>02</v>
      </c>
      <c r="H578" t="str">
        <f>"3  "</f>
        <v xml:space="preserve">3  </v>
      </c>
      <c r="I578" t="str">
        <f>"2019/09/27"</f>
        <v>2019/09/27</v>
      </c>
      <c r="J578" t="str">
        <f>"510"</f>
        <v>510</v>
      </c>
      <c r="K578" t="str">
        <f>"20320526"</f>
        <v>20320526</v>
      </c>
      <c r="L578" t="s">
        <v>18</v>
      </c>
      <c r="M578" t="str">
        <f>"20181106"</f>
        <v>20181106</v>
      </c>
    </row>
    <row r="579" spans="1:13" x14ac:dyDescent="0.25">
      <c r="A579" t="str">
        <f>"00634245"</f>
        <v>00634245</v>
      </c>
      <c r="B579" t="s">
        <v>1151</v>
      </c>
      <c r="C579" t="s">
        <v>1160</v>
      </c>
      <c r="D579" t="s">
        <v>16</v>
      </c>
      <c r="E579" t="s">
        <v>26</v>
      </c>
      <c r="F579" t="s">
        <v>17</v>
      </c>
      <c r="G579" t="str">
        <f>"02"</f>
        <v>02</v>
      </c>
      <c r="H579" t="str">
        <f>"3  "</f>
        <v xml:space="preserve">3  </v>
      </c>
      <c r="I579" t="str">
        <f>"2015/02/12"</f>
        <v>2015/02/12</v>
      </c>
      <c r="J579" t="str">
        <f>"534"</f>
        <v>534</v>
      </c>
      <c r="K579" t="str">
        <f>"20210404"</f>
        <v>20210404</v>
      </c>
      <c r="L579" t="s">
        <v>18</v>
      </c>
      <c r="M579" t="str">
        <f>"20090108"</f>
        <v>20090108</v>
      </c>
    </row>
    <row r="580" spans="1:13" x14ac:dyDescent="0.25">
      <c r="A580" t="str">
        <f>"00285338"</f>
        <v>00285338</v>
      </c>
      <c r="B580" t="s">
        <v>1151</v>
      </c>
      <c r="C580" t="s">
        <v>1162</v>
      </c>
      <c r="D580" t="s">
        <v>80</v>
      </c>
      <c r="E580" t="s">
        <v>16</v>
      </c>
      <c r="F580" t="s">
        <v>17</v>
      </c>
      <c r="G580" t="str">
        <f>"02"</f>
        <v>02</v>
      </c>
      <c r="H580" t="str">
        <f>"3  "</f>
        <v xml:space="preserve">3  </v>
      </c>
      <c r="I580" t="str">
        <f>"2020/07/21"</f>
        <v>2020/07/21</v>
      </c>
      <c r="J580" t="str">
        <f>"533"</f>
        <v>533</v>
      </c>
      <c r="K580" t="str">
        <f>"20280529"</f>
        <v>20280529</v>
      </c>
      <c r="L580" t="s">
        <v>18</v>
      </c>
      <c r="M580" t="str">
        <f>"19921223"</f>
        <v>19921223</v>
      </c>
    </row>
    <row r="581" spans="1:13" x14ac:dyDescent="0.25">
      <c r="A581" t="str">
        <f>"00291915"</f>
        <v>00291915</v>
      </c>
      <c r="B581" t="s">
        <v>1151</v>
      </c>
      <c r="C581" t="s">
        <v>545</v>
      </c>
      <c r="D581" t="s">
        <v>31</v>
      </c>
      <c r="E581" t="s">
        <v>26</v>
      </c>
      <c r="F581" t="s">
        <v>17</v>
      </c>
      <c r="G581" t="str">
        <f>"02"</f>
        <v>02</v>
      </c>
      <c r="H581" t="str">
        <f>"3  "</f>
        <v xml:space="preserve">3  </v>
      </c>
      <c r="I581" t="str">
        <f>"2018/10/12"</f>
        <v>2018/10/12</v>
      </c>
      <c r="J581" t="str">
        <f>"510"</f>
        <v>510</v>
      </c>
      <c r="K581" t="str">
        <f>"20321223"</f>
        <v>20321223</v>
      </c>
      <c r="L581" t="s">
        <v>18</v>
      </c>
      <c r="M581" t="str">
        <f>"20170831"</f>
        <v>20170831</v>
      </c>
    </row>
    <row r="582" spans="1:13" x14ac:dyDescent="0.25">
      <c r="A582" t="str">
        <f>"00260596"</f>
        <v>00260596</v>
      </c>
      <c r="B582" t="s">
        <v>1166</v>
      </c>
      <c r="C582" t="s">
        <v>117</v>
      </c>
      <c r="D582" t="s">
        <v>51</v>
      </c>
      <c r="E582" t="s">
        <v>26</v>
      </c>
      <c r="F582" t="s">
        <v>17</v>
      </c>
      <c r="G582" t="str">
        <f>"02"</f>
        <v>02</v>
      </c>
      <c r="H582" t="str">
        <f>"7  "</f>
        <v xml:space="preserve">7  </v>
      </c>
      <c r="I582" t="str">
        <f>"2004/07/23"</f>
        <v>2004/07/23</v>
      </c>
      <c r="J582" t="str">
        <f>"510"</f>
        <v>510</v>
      </c>
      <c r="K582" t="s">
        <v>18</v>
      </c>
      <c r="L582" t="s">
        <v>18</v>
      </c>
      <c r="M582" t="str">
        <f>"20021022"</f>
        <v>20021022</v>
      </c>
    </row>
    <row r="583" spans="1:13" x14ac:dyDescent="0.25">
      <c r="A583" t="str">
        <f>"00396535"</f>
        <v>00396535</v>
      </c>
      <c r="B583" t="s">
        <v>1166</v>
      </c>
      <c r="C583" t="s">
        <v>246</v>
      </c>
      <c r="D583" t="s">
        <v>45</v>
      </c>
      <c r="E583" t="s">
        <v>16</v>
      </c>
      <c r="F583" t="s">
        <v>17</v>
      </c>
      <c r="G583" t="str">
        <f>"02"</f>
        <v>02</v>
      </c>
      <c r="H583" t="str">
        <f>"3  "</f>
        <v xml:space="preserve">3  </v>
      </c>
      <c r="I583" t="str">
        <f>"2007/09/04"</f>
        <v>2007/09/04</v>
      </c>
      <c r="J583" t="str">
        <f>"110"</f>
        <v>110</v>
      </c>
      <c r="K583" t="str">
        <f>"20281225"</f>
        <v>20281225</v>
      </c>
      <c r="L583" t="s">
        <v>18</v>
      </c>
      <c r="M583" t="str">
        <f>"20070316"</f>
        <v>20070316</v>
      </c>
    </row>
    <row r="584" spans="1:13" x14ac:dyDescent="0.25">
      <c r="A584" t="str">
        <f>"00785073"</f>
        <v>00785073</v>
      </c>
      <c r="B584" t="s">
        <v>1167</v>
      </c>
      <c r="C584" t="s">
        <v>1168</v>
      </c>
      <c r="D584" t="s">
        <v>25</v>
      </c>
      <c r="E584" t="s">
        <v>26</v>
      </c>
      <c r="F584" t="s">
        <v>17</v>
      </c>
      <c r="G584" t="str">
        <f>"02"</f>
        <v>02</v>
      </c>
      <c r="H584" t="str">
        <f>"3  "</f>
        <v xml:space="preserve">3  </v>
      </c>
      <c r="I584" t="str">
        <f>"2019/09/27"</f>
        <v>2019/09/27</v>
      </c>
      <c r="J584" t="str">
        <f>"510"</f>
        <v>510</v>
      </c>
      <c r="K584" t="str">
        <f>"20230901"</f>
        <v>20230901</v>
      </c>
      <c r="L584" t="s">
        <v>18</v>
      </c>
      <c r="M584" t="str">
        <f>"20190218"</f>
        <v>20190218</v>
      </c>
    </row>
    <row r="585" spans="1:13" x14ac:dyDescent="0.25">
      <c r="A585" t="str">
        <f>"00379350"</f>
        <v>00379350</v>
      </c>
      <c r="B585" t="s">
        <v>1174</v>
      </c>
      <c r="C585" t="s">
        <v>68</v>
      </c>
      <c r="D585" t="s">
        <v>80</v>
      </c>
      <c r="E585" t="s">
        <v>26</v>
      </c>
      <c r="F585" t="s">
        <v>17</v>
      </c>
      <c r="G585" t="str">
        <f>"02"</f>
        <v>02</v>
      </c>
      <c r="H585" t="str">
        <f>"7  "</f>
        <v xml:space="preserve">7  </v>
      </c>
      <c r="I585" t="str">
        <f>"2010/09/17"</f>
        <v>2010/09/17</v>
      </c>
      <c r="J585" t="str">
        <f>"510"</f>
        <v>510</v>
      </c>
      <c r="K585" t="s">
        <v>18</v>
      </c>
      <c r="L585" t="s">
        <v>18</v>
      </c>
      <c r="M585" t="str">
        <f>"20080811"</f>
        <v>20080811</v>
      </c>
    </row>
    <row r="586" spans="1:13" x14ac:dyDescent="0.25">
      <c r="A586" t="str">
        <f>"00118965"</f>
        <v>00118965</v>
      </c>
      <c r="B586" t="s">
        <v>1176</v>
      </c>
      <c r="C586" t="s">
        <v>1177</v>
      </c>
      <c r="D586" t="s">
        <v>40</v>
      </c>
      <c r="E586" t="s">
        <v>16</v>
      </c>
      <c r="F586" t="s">
        <v>17</v>
      </c>
      <c r="G586" t="str">
        <f>"02"</f>
        <v>02</v>
      </c>
      <c r="H586" t="str">
        <f>"3  "</f>
        <v xml:space="preserve">3  </v>
      </c>
      <c r="I586" t="str">
        <f>"1996/07/10"</f>
        <v>1996/07/10</v>
      </c>
      <c r="J586" t="str">
        <f>"110"</f>
        <v>110</v>
      </c>
      <c r="K586" t="str">
        <f>"20471009"</f>
        <v>20471009</v>
      </c>
      <c r="L586" t="s">
        <v>18</v>
      </c>
      <c r="M586" t="str">
        <f>"19960330"</f>
        <v>19960330</v>
      </c>
    </row>
    <row r="587" spans="1:13" x14ac:dyDescent="0.25">
      <c r="A587" t="str">
        <f>"00511795"</f>
        <v>00511795</v>
      </c>
      <c r="B587" t="s">
        <v>1178</v>
      </c>
      <c r="C587" t="s">
        <v>1179</v>
      </c>
      <c r="D587" t="s">
        <v>45</v>
      </c>
      <c r="E587" t="s">
        <v>26</v>
      </c>
      <c r="F587" t="s">
        <v>17</v>
      </c>
      <c r="G587" t="str">
        <f>"02"</f>
        <v>02</v>
      </c>
      <c r="H587" t="str">
        <f>"3  "</f>
        <v xml:space="preserve">3  </v>
      </c>
      <c r="I587" t="str">
        <f>"2016/11/17"</f>
        <v>2016/11/17</v>
      </c>
      <c r="J587" t="str">
        <f>"510"</f>
        <v>510</v>
      </c>
      <c r="K587" t="str">
        <f>"20280124"</f>
        <v>20280124</v>
      </c>
      <c r="L587" t="s">
        <v>18</v>
      </c>
      <c r="M587" t="str">
        <f>"20141125"</f>
        <v>20141125</v>
      </c>
    </row>
    <row r="588" spans="1:13" x14ac:dyDescent="0.25">
      <c r="A588" t="str">
        <f>"00085438"</f>
        <v>00085438</v>
      </c>
      <c r="B588" t="s">
        <v>1187</v>
      </c>
      <c r="C588" t="s">
        <v>150</v>
      </c>
      <c r="D588" t="s">
        <v>142</v>
      </c>
      <c r="E588" t="s">
        <v>16</v>
      </c>
      <c r="F588" t="s">
        <v>17</v>
      </c>
      <c r="G588" t="str">
        <f>"02"</f>
        <v>02</v>
      </c>
      <c r="H588" t="str">
        <f>"4  "</f>
        <v xml:space="preserve">4  </v>
      </c>
      <c r="I588" t="str">
        <f>"1999/11/16"</f>
        <v>1999/11/16</v>
      </c>
      <c r="J588" t="str">
        <f>"502"</f>
        <v>502</v>
      </c>
      <c r="K588" t="str">
        <f>"20311027"</f>
        <v>20311027</v>
      </c>
      <c r="L588" t="s">
        <v>18</v>
      </c>
      <c r="M588" t="str">
        <f>"19980203"</f>
        <v>19980203</v>
      </c>
    </row>
    <row r="589" spans="1:13" x14ac:dyDescent="0.25">
      <c r="A589" t="str">
        <f>"00249262"</f>
        <v>00249262</v>
      </c>
      <c r="B589" t="s">
        <v>1190</v>
      </c>
      <c r="C589" t="s">
        <v>244</v>
      </c>
      <c r="D589" t="s">
        <v>25</v>
      </c>
      <c r="E589" t="s">
        <v>16</v>
      </c>
      <c r="F589" t="s">
        <v>17</v>
      </c>
      <c r="G589" t="str">
        <f>"02"</f>
        <v>02</v>
      </c>
      <c r="H589" t="str">
        <f>"7  "</f>
        <v xml:space="preserve">7  </v>
      </c>
      <c r="I589" t="str">
        <f>"1991/12/16"</f>
        <v>1991/12/16</v>
      </c>
      <c r="J589" t="str">
        <f>"114"</f>
        <v>114</v>
      </c>
      <c r="K589" t="s">
        <v>18</v>
      </c>
      <c r="L589" t="s">
        <v>18</v>
      </c>
      <c r="M589" t="str">
        <f>"19901123"</f>
        <v>19901123</v>
      </c>
    </row>
    <row r="590" spans="1:13" x14ac:dyDescent="0.25">
      <c r="A590" t="str">
        <f>"00317469"</f>
        <v>00317469</v>
      </c>
      <c r="B590" t="s">
        <v>1191</v>
      </c>
      <c r="C590" t="s">
        <v>120</v>
      </c>
      <c r="D590" t="s">
        <v>26</v>
      </c>
      <c r="E590" t="s">
        <v>16</v>
      </c>
      <c r="F590" t="s">
        <v>17</v>
      </c>
      <c r="G590" t="str">
        <f>"02"</f>
        <v>02</v>
      </c>
      <c r="H590" t="str">
        <f>"3  "</f>
        <v xml:space="preserve">3  </v>
      </c>
      <c r="I590" t="str">
        <f>"2019/10/02"</f>
        <v>2019/10/02</v>
      </c>
      <c r="J590" t="str">
        <f>"506"</f>
        <v>506</v>
      </c>
      <c r="K590" t="str">
        <f>"20210709"</f>
        <v>20210709</v>
      </c>
      <c r="L590" t="s">
        <v>18</v>
      </c>
      <c r="M590" t="str">
        <f>"20190909"</f>
        <v>20190909</v>
      </c>
    </row>
    <row r="591" spans="1:13" x14ac:dyDescent="0.25">
      <c r="A591" t="str">
        <f>"00567183"</f>
        <v>00567183</v>
      </c>
      <c r="B591" t="s">
        <v>1193</v>
      </c>
      <c r="C591" t="s">
        <v>96</v>
      </c>
      <c r="D591" t="s">
        <v>25</v>
      </c>
      <c r="E591" t="s">
        <v>26</v>
      </c>
      <c r="F591" t="s">
        <v>17</v>
      </c>
      <c r="G591" t="str">
        <f>"02"</f>
        <v>02</v>
      </c>
      <c r="H591" t="str">
        <f>"3  "</f>
        <v xml:space="preserve">3  </v>
      </c>
      <c r="I591" t="str">
        <f>"2019/08/05"</f>
        <v>2019/08/05</v>
      </c>
      <c r="J591" t="str">
        <f>"533"</f>
        <v>533</v>
      </c>
      <c r="K591" t="str">
        <f>"20481227"</f>
        <v>20481227</v>
      </c>
      <c r="L591" t="s">
        <v>18</v>
      </c>
      <c r="M591" t="str">
        <f>"20170616"</f>
        <v>20170616</v>
      </c>
    </row>
    <row r="592" spans="1:13" x14ac:dyDescent="0.25">
      <c r="A592" t="str">
        <f>"00248424"</f>
        <v>00248424</v>
      </c>
      <c r="B592" t="s">
        <v>1198</v>
      </c>
      <c r="C592" t="s">
        <v>1200</v>
      </c>
      <c r="D592" t="s">
        <v>45</v>
      </c>
      <c r="E592" t="s">
        <v>26</v>
      </c>
      <c r="F592" t="s">
        <v>17</v>
      </c>
      <c r="G592" t="str">
        <f>"02"</f>
        <v>02</v>
      </c>
      <c r="H592" t="str">
        <f>"3  "</f>
        <v xml:space="preserve">3  </v>
      </c>
      <c r="I592" t="str">
        <f>"2009/06/25"</f>
        <v>2009/06/25</v>
      </c>
      <c r="J592" t="str">
        <f>"510"</f>
        <v>510</v>
      </c>
      <c r="K592" t="str">
        <f>"20230623"</f>
        <v>20230623</v>
      </c>
      <c r="L592" t="s">
        <v>18</v>
      </c>
      <c r="M592" t="str">
        <f>"20071202"</f>
        <v>20071202</v>
      </c>
    </row>
    <row r="593" spans="1:13" x14ac:dyDescent="0.25">
      <c r="A593" t="str">
        <f>"00168692"</f>
        <v>00168692</v>
      </c>
      <c r="B593" t="s">
        <v>1202</v>
      </c>
      <c r="C593" t="s">
        <v>213</v>
      </c>
      <c r="D593" t="s">
        <v>15</v>
      </c>
      <c r="E593" t="s">
        <v>16</v>
      </c>
      <c r="F593" t="s">
        <v>17</v>
      </c>
      <c r="G593" t="str">
        <f>"02"</f>
        <v>02</v>
      </c>
      <c r="H593" t="str">
        <f>"3  "</f>
        <v xml:space="preserve">3  </v>
      </c>
      <c r="I593" t="str">
        <f>"1999/01/20"</f>
        <v>1999/01/20</v>
      </c>
      <c r="J593" t="str">
        <f>"114"</f>
        <v>114</v>
      </c>
      <c r="K593" t="str">
        <f>"20310906"</f>
        <v>20310906</v>
      </c>
      <c r="L593" t="s">
        <v>18</v>
      </c>
      <c r="M593" t="str">
        <f>"20010905"</f>
        <v>20010905</v>
      </c>
    </row>
    <row r="594" spans="1:13" x14ac:dyDescent="0.25">
      <c r="A594" t="str">
        <f>"00688579"</f>
        <v>00688579</v>
      </c>
      <c r="B594" t="s">
        <v>1210</v>
      </c>
      <c r="C594" t="s">
        <v>1064</v>
      </c>
      <c r="D594" t="s">
        <v>1212</v>
      </c>
      <c r="E594" t="s">
        <v>26</v>
      </c>
      <c r="F594" t="s">
        <v>17</v>
      </c>
      <c r="G594" t="str">
        <f>"02"</f>
        <v>02</v>
      </c>
      <c r="H594" t="str">
        <f>"3  "</f>
        <v xml:space="preserve">3  </v>
      </c>
      <c r="I594" t="str">
        <f>"2018/09/04"</f>
        <v>2018/09/04</v>
      </c>
      <c r="J594" t="str">
        <f>"503"</f>
        <v>503</v>
      </c>
      <c r="K594" t="str">
        <f>"20220610"</f>
        <v>20220610</v>
      </c>
      <c r="L594" t="s">
        <v>18</v>
      </c>
      <c r="M594" t="str">
        <f>"20171130"</f>
        <v>20171130</v>
      </c>
    </row>
    <row r="595" spans="1:13" x14ac:dyDescent="0.25">
      <c r="A595" t="str">
        <f>"00160380"</f>
        <v>00160380</v>
      </c>
      <c r="B595" t="s">
        <v>1213</v>
      </c>
      <c r="C595" t="s">
        <v>140</v>
      </c>
      <c r="D595" t="s">
        <v>80</v>
      </c>
      <c r="E595" t="s">
        <v>16</v>
      </c>
      <c r="F595" t="s">
        <v>17</v>
      </c>
      <c r="G595" t="str">
        <f>"02"</f>
        <v>02</v>
      </c>
      <c r="H595" t="str">
        <f>"3  "</f>
        <v xml:space="preserve">3  </v>
      </c>
      <c r="I595" t="str">
        <f>"1994/12/06"</f>
        <v>1994/12/06</v>
      </c>
      <c r="J595" t="str">
        <f>"502"</f>
        <v>502</v>
      </c>
      <c r="K595" t="str">
        <f>"20630820"</f>
        <v>20630820</v>
      </c>
      <c r="L595" t="s">
        <v>18</v>
      </c>
      <c r="M595" t="str">
        <f>"19911009"</f>
        <v>19911009</v>
      </c>
    </row>
    <row r="596" spans="1:13" x14ac:dyDescent="0.25">
      <c r="A596" t="str">
        <f>"00672311"</f>
        <v>00672311</v>
      </c>
      <c r="B596" t="s">
        <v>1214</v>
      </c>
      <c r="C596" t="s">
        <v>136</v>
      </c>
      <c r="D596" t="s">
        <v>37</v>
      </c>
      <c r="E596" t="s">
        <v>16</v>
      </c>
      <c r="F596" t="s">
        <v>17</v>
      </c>
      <c r="G596" t="str">
        <f>"02"</f>
        <v>02</v>
      </c>
      <c r="H596" t="str">
        <f>"3  "</f>
        <v xml:space="preserve">3  </v>
      </c>
      <c r="I596" t="str">
        <f>"2015/10/01"</f>
        <v>2015/10/01</v>
      </c>
      <c r="J596" t="str">
        <f>"531"</f>
        <v>531</v>
      </c>
      <c r="K596" t="str">
        <f>"20250418"</f>
        <v>20250418</v>
      </c>
      <c r="L596" t="s">
        <v>18</v>
      </c>
      <c r="M596" t="str">
        <f>"20140714"</f>
        <v>20140714</v>
      </c>
    </row>
    <row r="597" spans="1:13" x14ac:dyDescent="0.25">
      <c r="A597" t="str">
        <f>"00124570"</f>
        <v>00124570</v>
      </c>
      <c r="B597" t="s">
        <v>1220</v>
      </c>
      <c r="C597" t="s">
        <v>249</v>
      </c>
      <c r="D597" t="s">
        <v>26</v>
      </c>
      <c r="E597" t="s">
        <v>26</v>
      </c>
      <c r="F597" t="s">
        <v>17</v>
      </c>
      <c r="G597" t="str">
        <f>"02"</f>
        <v>02</v>
      </c>
      <c r="H597" t="str">
        <f>"7  "</f>
        <v xml:space="preserve">7  </v>
      </c>
      <c r="I597" t="str">
        <f>"2014/05/23"</f>
        <v>2014/05/23</v>
      </c>
      <c r="J597" t="str">
        <f>"503"</f>
        <v>503</v>
      </c>
      <c r="K597" t="s">
        <v>18</v>
      </c>
      <c r="L597" t="s">
        <v>18</v>
      </c>
      <c r="M597" t="str">
        <f>"19790816"</f>
        <v>19790816</v>
      </c>
    </row>
    <row r="598" spans="1:13" x14ac:dyDescent="0.25">
      <c r="A598" t="str">
        <f>"00188282"</f>
        <v>00188282</v>
      </c>
      <c r="B598" t="s">
        <v>1224</v>
      </c>
      <c r="C598" t="s">
        <v>327</v>
      </c>
      <c r="D598" t="s">
        <v>25</v>
      </c>
      <c r="E598" t="s">
        <v>26</v>
      </c>
      <c r="F598" t="s">
        <v>17</v>
      </c>
      <c r="G598" t="str">
        <f>"02"</f>
        <v>02</v>
      </c>
      <c r="H598" t="str">
        <f>"7  "</f>
        <v xml:space="preserve">7  </v>
      </c>
      <c r="I598" t="str">
        <f>"2010/03/02"</f>
        <v>2010/03/02</v>
      </c>
      <c r="J598" t="str">
        <f>"510"</f>
        <v>510</v>
      </c>
      <c r="K598" t="s">
        <v>18</v>
      </c>
      <c r="L598" t="s">
        <v>18</v>
      </c>
      <c r="M598" t="str">
        <f>"20090510"</f>
        <v>20090510</v>
      </c>
    </row>
    <row r="599" spans="1:13" x14ac:dyDescent="0.25">
      <c r="A599" t="str">
        <f>"00173261"</f>
        <v>00173261</v>
      </c>
      <c r="B599" t="s">
        <v>1225</v>
      </c>
      <c r="C599" t="s">
        <v>1226</v>
      </c>
      <c r="D599" t="s">
        <v>25</v>
      </c>
      <c r="E599" t="s">
        <v>26</v>
      </c>
      <c r="F599" t="s">
        <v>17</v>
      </c>
      <c r="G599" t="str">
        <f>"02"</f>
        <v>02</v>
      </c>
      <c r="H599" t="str">
        <f>"7  "</f>
        <v xml:space="preserve">7  </v>
      </c>
      <c r="I599" t="str">
        <f>"2001/01/24"</f>
        <v>2001/01/24</v>
      </c>
      <c r="J599" t="str">
        <f>"533"</f>
        <v>533</v>
      </c>
      <c r="K599" t="s">
        <v>18</v>
      </c>
      <c r="L599" t="s">
        <v>18</v>
      </c>
      <c r="M599" t="str">
        <f>"19930308"</f>
        <v>19930308</v>
      </c>
    </row>
    <row r="600" spans="1:13" x14ac:dyDescent="0.25">
      <c r="A600" t="str">
        <f>"00133839"</f>
        <v>00133839</v>
      </c>
      <c r="B600" t="s">
        <v>1227</v>
      </c>
      <c r="C600" t="s">
        <v>308</v>
      </c>
      <c r="D600" t="s">
        <v>15</v>
      </c>
      <c r="E600" t="s">
        <v>16</v>
      </c>
      <c r="F600" t="s">
        <v>17</v>
      </c>
      <c r="G600" t="str">
        <f>"02"</f>
        <v>02</v>
      </c>
      <c r="H600" t="str">
        <f>"3  "</f>
        <v xml:space="preserve">3  </v>
      </c>
      <c r="I600" t="str">
        <f>"2017/05/19"</f>
        <v>2017/05/19</v>
      </c>
      <c r="J600" t="str">
        <f>"510"</f>
        <v>510</v>
      </c>
      <c r="K600" t="str">
        <f>"20280924"</f>
        <v>20280924</v>
      </c>
      <c r="L600" t="s">
        <v>18</v>
      </c>
      <c r="M600" t="str">
        <f>"20160223"</f>
        <v>20160223</v>
      </c>
    </row>
    <row r="601" spans="1:13" x14ac:dyDescent="0.25">
      <c r="A601" t="str">
        <f>"00185791"</f>
        <v>00185791</v>
      </c>
      <c r="B601" t="s">
        <v>1231</v>
      </c>
      <c r="C601" t="s">
        <v>1232</v>
      </c>
      <c r="D601" t="s">
        <v>51</v>
      </c>
      <c r="E601" t="s">
        <v>26</v>
      </c>
      <c r="F601" t="s">
        <v>17</v>
      </c>
      <c r="G601" t="str">
        <f>"02"</f>
        <v>02</v>
      </c>
      <c r="H601" t="str">
        <f>"7  "</f>
        <v xml:space="preserve">7  </v>
      </c>
      <c r="I601" t="str">
        <f>"2012/10/21"</f>
        <v>2012/10/21</v>
      </c>
      <c r="J601" t="str">
        <f>"110"</f>
        <v>110</v>
      </c>
      <c r="K601" t="s">
        <v>18</v>
      </c>
      <c r="L601" t="s">
        <v>18</v>
      </c>
      <c r="M601" t="str">
        <f>"20110520"</f>
        <v>20110520</v>
      </c>
    </row>
    <row r="602" spans="1:13" x14ac:dyDescent="0.25">
      <c r="A602" t="str">
        <f>"00211700"</f>
        <v>00211700</v>
      </c>
      <c r="B602" t="s">
        <v>1237</v>
      </c>
      <c r="C602" t="s">
        <v>150</v>
      </c>
      <c r="D602" t="s">
        <v>61</v>
      </c>
      <c r="E602" t="s">
        <v>16</v>
      </c>
      <c r="F602" t="s">
        <v>17</v>
      </c>
      <c r="G602" t="str">
        <f>"02"</f>
        <v>02</v>
      </c>
      <c r="H602" t="str">
        <f>"3  "</f>
        <v xml:space="preserve">3  </v>
      </c>
      <c r="I602" t="str">
        <f>"2020/08/05"</f>
        <v>2020/08/05</v>
      </c>
      <c r="J602" t="str">
        <f>"533"</f>
        <v>533</v>
      </c>
      <c r="K602" t="str">
        <f>"20270216"</f>
        <v>20270216</v>
      </c>
      <c r="L602" t="s">
        <v>18</v>
      </c>
      <c r="M602" t="str">
        <f>"20180407"</f>
        <v>20180407</v>
      </c>
    </row>
    <row r="603" spans="1:13" x14ac:dyDescent="0.25">
      <c r="A603" t="str">
        <f>"00454809"</f>
        <v>00454809</v>
      </c>
      <c r="B603" t="s">
        <v>1239</v>
      </c>
      <c r="C603" t="s">
        <v>135</v>
      </c>
      <c r="D603" t="s">
        <v>37</v>
      </c>
      <c r="E603" t="s">
        <v>26</v>
      </c>
      <c r="F603" t="s">
        <v>17</v>
      </c>
      <c r="G603" t="str">
        <f>"02"</f>
        <v>02</v>
      </c>
      <c r="H603" t="str">
        <f>"3  "</f>
        <v xml:space="preserve">3  </v>
      </c>
      <c r="I603" t="str">
        <f>"2018/05/07"</f>
        <v>2018/05/07</v>
      </c>
      <c r="J603" t="str">
        <f>"510"</f>
        <v>510</v>
      </c>
      <c r="K603" t="str">
        <f>"20390615"</f>
        <v>20390615</v>
      </c>
      <c r="L603" t="s">
        <v>18</v>
      </c>
      <c r="M603" t="str">
        <f>"20170317"</f>
        <v>20170317</v>
      </c>
    </row>
    <row r="604" spans="1:13" x14ac:dyDescent="0.25">
      <c r="A604" t="str">
        <f>"00219854"</f>
        <v>00219854</v>
      </c>
      <c r="B604" t="s">
        <v>1239</v>
      </c>
      <c r="C604" t="s">
        <v>264</v>
      </c>
      <c r="D604" t="s">
        <v>80</v>
      </c>
      <c r="E604" t="s">
        <v>26</v>
      </c>
      <c r="F604" t="s">
        <v>17</v>
      </c>
      <c r="G604" t="str">
        <f>"02"</f>
        <v>02</v>
      </c>
      <c r="H604" t="str">
        <f>"7  "</f>
        <v xml:space="preserve">7  </v>
      </c>
      <c r="I604" t="str">
        <f>"2007/09/24"</f>
        <v>2007/09/24</v>
      </c>
      <c r="J604" t="str">
        <f>"503"</f>
        <v>503</v>
      </c>
      <c r="K604" t="s">
        <v>18</v>
      </c>
      <c r="L604" t="s">
        <v>18</v>
      </c>
      <c r="M604" t="str">
        <f>"20060203"</f>
        <v>20060203</v>
      </c>
    </row>
    <row r="605" spans="1:13" x14ac:dyDescent="0.25">
      <c r="A605" t="str">
        <f>"00154239"</f>
        <v>00154239</v>
      </c>
      <c r="B605" t="s">
        <v>1239</v>
      </c>
      <c r="C605" t="s">
        <v>72</v>
      </c>
      <c r="D605" t="s">
        <v>21</v>
      </c>
      <c r="E605" t="s">
        <v>26</v>
      </c>
      <c r="F605" t="s">
        <v>17</v>
      </c>
      <c r="G605" t="str">
        <f>"02"</f>
        <v>02</v>
      </c>
      <c r="H605" t="str">
        <f>"7  "</f>
        <v xml:space="preserve">7  </v>
      </c>
      <c r="I605" t="str">
        <f>"2018/10/15"</f>
        <v>2018/10/15</v>
      </c>
      <c r="J605" t="str">
        <f>"533"</f>
        <v>533</v>
      </c>
      <c r="K605" t="s">
        <v>18</v>
      </c>
      <c r="L605" t="s">
        <v>18</v>
      </c>
      <c r="M605" t="str">
        <f>"19821204"</f>
        <v>19821204</v>
      </c>
    </row>
    <row r="606" spans="1:13" x14ac:dyDescent="0.25">
      <c r="A606" t="str">
        <f>"00520613"</f>
        <v>00520613</v>
      </c>
      <c r="B606" t="s">
        <v>1239</v>
      </c>
      <c r="C606" t="s">
        <v>1121</v>
      </c>
      <c r="D606" t="s">
        <v>25</v>
      </c>
      <c r="E606" t="s">
        <v>26</v>
      </c>
      <c r="F606" t="s">
        <v>17</v>
      </c>
      <c r="G606" t="str">
        <f>"02"</f>
        <v>02</v>
      </c>
      <c r="H606" t="str">
        <f>"3  "</f>
        <v xml:space="preserve">3  </v>
      </c>
      <c r="I606" t="str">
        <f>"2013/08/15"</f>
        <v>2013/08/15</v>
      </c>
      <c r="J606" t="str">
        <f>"510"</f>
        <v>510</v>
      </c>
      <c r="K606" t="str">
        <f>"20220928"</f>
        <v>20220928</v>
      </c>
      <c r="L606" t="s">
        <v>18</v>
      </c>
      <c r="M606" t="str">
        <f>"20120320"</f>
        <v>20120320</v>
      </c>
    </row>
    <row r="607" spans="1:13" x14ac:dyDescent="0.25">
      <c r="A607" t="str">
        <f>"00656483"</f>
        <v>00656483</v>
      </c>
      <c r="B607" t="s">
        <v>1239</v>
      </c>
      <c r="C607" t="s">
        <v>1241</v>
      </c>
      <c r="D607" t="s">
        <v>25</v>
      </c>
      <c r="E607" t="s">
        <v>26</v>
      </c>
      <c r="F607" t="s">
        <v>17</v>
      </c>
      <c r="G607" t="str">
        <f>"02"</f>
        <v>02</v>
      </c>
      <c r="H607" t="str">
        <f>"3  "</f>
        <v xml:space="preserve">3  </v>
      </c>
      <c r="I607" t="str">
        <f>"2020/04/03"</f>
        <v>2020/04/03</v>
      </c>
      <c r="J607" t="str">
        <f>"510"</f>
        <v>510</v>
      </c>
      <c r="K607" t="str">
        <f>"20361018"</f>
        <v>20361018</v>
      </c>
      <c r="L607" t="s">
        <v>18</v>
      </c>
      <c r="M607" t="str">
        <f>"20180928"</f>
        <v>20180928</v>
      </c>
    </row>
    <row r="608" spans="1:13" x14ac:dyDescent="0.25">
      <c r="A608" t="str">
        <f>"00335007"</f>
        <v>00335007</v>
      </c>
      <c r="B608" t="s">
        <v>1239</v>
      </c>
      <c r="C608" t="s">
        <v>685</v>
      </c>
      <c r="D608" t="s">
        <v>40</v>
      </c>
      <c r="E608" t="s">
        <v>26</v>
      </c>
      <c r="F608" t="s">
        <v>17</v>
      </c>
      <c r="G608" t="str">
        <f>"02"</f>
        <v>02</v>
      </c>
      <c r="H608" t="str">
        <f>"3  "</f>
        <v xml:space="preserve">3  </v>
      </c>
      <c r="I608" t="str">
        <f>"2013/11/14"</f>
        <v>2013/11/14</v>
      </c>
      <c r="J608" t="str">
        <f>"110"</f>
        <v>110</v>
      </c>
      <c r="K608" t="str">
        <f>"20360124"</f>
        <v>20360124</v>
      </c>
      <c r="L608" t="s">
        <v>18</v>
      </c>
      <c r="M608" t="str">
        <f>"20121108"</f>
        <v>20121108</v>
      </c>
    </row>
    <row r="609" spans="1:13" x14ac:dyDescent="0.25">
      <c r="A609" t="str">
        <f>"00353229"</f>
        <v>00353229</v>
      </c>
      <c r="B609" t="s">
        <v>1251</v>
      </c>
      <c r="C609" t="s">
        <v>1252</v>
      </c>
      <c r="D609" t="s">
        <v>61</v>
      </c>
      <c r="E609" t="s">
        <v>26</v>
      </c>
      <c r="F609" t="s">
        <v>17</v>
      </c>
      <c r="G609" t="str">
        <f>"02"</f>
        <v>02</v>
      </c>
      <c r="H609" t="str">
        <f>"3  "</f>
        <v xml:space="preserve">3  </v>
      </c>
      <c r="I609" t="str">
        <f>"2020/09/16"</f>
        <v>2020/09/16</v>
      </c>
      <c r="J609" t="str">
        <f>"533"</f>
        <v>533</v>
      </c>
      <c r="K609" t="str">
        <f>"20400216"</f>
        <v>20400216</v>
      </c>
      <c r="L609" t="s">
        <v>18</v>
      </c>
      <c r="M609" t="str">
        <f>"20130124"</f>
        <v>20130124</v>
      </c>
    </row>
    <row r="610" spans="1:13" x14ac:dyDescent="0.25">
      <c r="A610" t="str">
        <f>"00311755"</f>
        <v>00311755</v>
      </c>
      <c r="B610" t="s">
        <v>1259</v>
      </c>
      <c r="C610" t="s">
        <v>140</v>
      </c>
      <c r="D610" t="s">
        <v>61</v>
      </c>
      <c r="E610" t="s">
        <v>16</v>
      </c>
      <c r="F610" t="s">
        <v>17</v>
      </c>
      <c r="G610" t="str">
        <f>"02"</f>
        <v>02</v>
      </c>
      <c r="H610" t="str">
        <f>"3  "</f>
        <v xml:space="preserve">3  </v>
      </c>
      <c r="I610" t="str">
        <f>"2015/01/09"</f>
        <v>2015/01/09</v>
      </c>
      <c r="J610" t="str">
        <f>"510"</f>
        <v>510</v>
      </c>
      <c r="K610" t="str">
        <f>"20210125"</f>
        <v>20210125</v>
      </c>
      <c r="L610" t="s">
        <v>18</v>
      </c>
      <c r="M610" t="str">
        <f>"20130213"</f>
        <v>20130213</v>
      </c>
    </row>
    <row r="611" spans="1:13" x14ac:dyDescent="0.25">
      <c r="A611" t="str">
        <f>"00195377"</f>
        <v>00195377</v>
      </c>
      <c r="B611" t="s">
        <v>1260</v>
      </c>
      <c r="C611" t="s">
        <v>754</v>
      </c>
      <c r="D611" t="s">
        <v>26</v>
      </c>
      <c r="E611" t="s">
        <v>16</v>
      </c>
      <c r="F611" t="s">
        <v>17</v>
      </c>
      <c r="G611" t="str">
        <f>"02"</f>
        <v>02</v>
      </c>
      <c r="H611" t="str">
        <f>"3  "</f>
        <v xml:space="preserve">3  </v>
      </c>
      <c r="I611" t="str">
        <f>"2007/10/09"</f>
        <v>2007/10/09</v>
      </c>
      <c r="J611" t="str">
        <f>"110"</f>
        <v>110</v>
      </c>
      <c r="K611" t="str">
        <f>"20260308"</f>
        <v>20260308</v>
      </c>
      <c r="L611" t="s">
        <v>18</v>
      </c>
      <c r="M611" t="str">
        <f>"20070323"</f>
        <v>20070323</v>
      </c>
    </row>
    <row r="612" spans="1:13" x14ac:dyDescent="0.25">
      <c r="A612" t="str">
        <f>"00308255"</f>
        <v>00308255</v>
      </c>
      <c r="B612" t="s">
        <v>1261</v>
      </c>
      <c r="C612" t="s">
        <v>22</v>
      </c>
      <c r="D612" t="s">
        <v>15</v>
      </c>
      <c r="E612" t="s">
        <v>16</v>
      </c>
      <c r="F612" t="s">
        <v>17</v>
      </c>
      <c r="G612" t="str">
        <f>"02"</f>
        <v>02</v>
      </c>
      <c r="H612" t="str">
        <f>"3  "</f>
        <v xml:space="preserve">3  </v>
      </c>
      <c r="I612" t="str">
        <f>"2018/09/05"</f>
        <v>2018/09/05</v>
      </c>
      <c r="J612" t="str">
        <f>"503"</f>
        <v>503</v>
      </c>
      <c r="K612" t="str">
        <f>"20311128"</f>
        <v>20311128</v>
      </c>
      <c r="L612" t="s">
        <v>18</v>
      </c>
      <c r="M612" t="str">
        <f>"20180706"</f>
        <v>20180706</v>
      </c>
    </row>
    <row r="613" spans="1:13" x14ac:dyDescent="0.25">
      <c r="A613" t="str">
        <f>"00379337"</f>
        <v>00379337</v>
      </c>
      <c r="B613" t="s">
        <v>1263</v>
      </c>
      <c r="C613" t="s">
        <v>989</v>
      </c>
      <c r="D613" t="s">
        <v>51</v>
      </c>
      <c r="E613" t="s">
        <v>16</v>
      </c>
      <c r="F613" t="s">
        <v>17</v>
      </c>
      <c r="G613" t="str">
        <f>"02"</f>
        <v>02</v>
      </c>
      <c r="H613" t="str">
        <f>"3  "</f>
        <v xml:space="preserve">3  </v>
      </c>
      <c r="I613" t="str">
        <f>"2019/11/01"</f>
        <v>2019/11/01</v>
      </c>
      <c r="J613" t="str">
        <f>"510"</f>
        <v>510</v>
      </c>
      <c r="K613" t="str">
        <f>"20310717"</f>
        <v>20310717</v>
      </c>
      <c r="L613" t="s">
        <v>18</v>
      </c>
      <c r="M613" t="str">
        <f>"20171228"</f>
        <v>20171228</v>
      </c>
    </row>
    <row r="614" spans="1:13" x14ac:dyDescent="0.25">
      <c r="A614" t="str">
        <f>"00449073"</f>
        <v>00449073</v>
      </c>
      <c r="B614" t="s">
        <v>1264</v>
      </c>
      <c r="C614" t="s">
        <v>269</v>
      </c>
      <c r="D614" t="s">
        <v>15</v>
      </c>
      <c r="E614" t="s">
        <v>16</v>
      </c>
      <c r="F614" t="s">
        <v>17</v>
      </c>
      <c r="G614" t="str">
        <f>"02"</f>
        <v>02</v>
      </c>
      <c r="H614" t="str">
        <f>"3  "</f>
        <v xml:space="preserve">3  </v>
      </c>
      <c r="I614" t="str">
        <f>"2017/09/29"</f>
        <v>2017/09/29</v>
      </c>
      <c r="J614" t="str">
        <f>"503"</f>
        <v>503</v>
      </c>
      <c r="K614" t="str">
        <f>"20240707"</f>
        <v>20240707</v>
      </c>
      <c r="L614" t="s">
        <v>18</v>
      </c>
      <c r="M614" t="str">
        <f>"20170619"</f>
        <v>20170619</v>
      </c>
    </row>
    <row r="615" spans="1:13" x14ac:dyDescent="0.25">
      <c r="A615" t="str">
        <f>"00411745"</f>
        <v>00411745</v>
      </c>
      <c r="B615" t="s">
        <v>1265</v>
      </c>
      <c r="C615" t="s">
        <v>524</v>
      </c>
      <c r="D615" t="s">
        <v>15</v>
      </c>
      <c r="E615" t="s">
        <v>26</v>
      </c>
      <c r="F615" t="s">
        <v>17</v>
      </c>
      <c r="G615" t="str">
        <f>"02"</f>
        <v>02</v>
      </c>
      <c r="H615" t="str">
        <f>"3  "</f>
        <v xml:space="preserve">3  </v>
      </c>
      <c r="I615" t="str">
        <f>"2018/08/30"</f>
        <v>2018/08/30</v>
      </c>
      <c r="J615" t="str">
        <f>"503"</f>
        <v>503</v>
      </c>
      <c r="K615" t="str">
        <f>"20340324"</f>
        <v>20340324</v>
      </c>
      <c r="L615" t="s">
        <v>18</v>
      </c>
      <c r="M615" t="str">
        <f>"20150906"</f>
        <v>20150906</v>
      </c>
    </row>
    <row r="616" spans="1:13" x14ac:dyDescent="0.25">
      <c r="A616" t="str">
        <f>"00513084"</f>
        <v>00513084</v>
      </c>
      <c r="B616" t="s">
        <v>1266</v>
      </c>
      <c r="C616" t="s">
        <v>1267</v>
      </c>
      <c r="D616" t="s">
        <v>25</v>
      </c>
      <c r="E616" t="s">
        <v>26</v>
      </c>
      <c r="F616" t="s">
        <v>17</v>
      </c>
      <c r="G616" t="str">
        <f>"02"</f>
        <v>02</v>
      </c>
      <c r="H616" t="str">
        <f>"3  "</f>
        <v xml:space="preserve">3  </v>
      </c>
      <c r="I616" t="str">
        <f>"2019/11/22"</f>
        <v>2019/11/22</v>
      </c>
      <c r="J616" t="str">
        <f>"510"</f>
        <v>510</v>
      </c>
      <c r="K616" t="str">
        <f>"20480807"</f>
        <v>20480807</v>
      </c>
      <c r="L616" t="s">
        <v>18</v>
      </c>
      <c r="M616" t="str">
        <f>"20170111"</f>
        <v>20170111</v>
      </c>
    </row>
    <row r="617" spans="1:13" x14ac:dyDescent="0.25">
      <c r="A617" t="str">
        <f>"00512920"</f>
        <v>00512920</v>
      </c>
      <c r="B617" t="s">
        <v>1278</v>
      </c>
      <c r="C617" t="s">
        <v>174</v>
      </c>
      <c r="D617" t="s">
        <v>45</v>
      </c>
      <c r="E617" t="s">
        <v>26</v>
      </c>
      <c r="F617" t="s">
        <v>17</v>
      </c>
      <c r="G617" t="str">
        <f>"02"</f>
        <v>02</v>
      </c>
      <c r="H617" t="str">
        <f>"7  "</f>
        <v xml:space="preserve">7  </v>
      </c>
      <c r="I617" t="str">
        <f>"2004/08/12"</f>
        <v>2004/08/12</v>
      </c>
      <c r="J617" t="str">
        <f>"503"</f>
        <v>503</v>
      </c>
      <c r="K617" t="s">
        <v>18</v>
      </c>
      <c r="L617" t="s">
        <v>18</v>
      </c>
      <c r="M617" t="str">
        <f>"20030901"</f>
        <v>20030901</v>
      </c>
    </row>
    <row r="618" spans="1:13" x14ac:dyDescent="0.25">
      <c r="A618" t="str">
        <f>"00780357"</f>
        <v>00780357</v>
      </c>
      <c r="B618" t="s">
        <v>1283</v>
      </c>
      <c r="C618" t="s">
        <v>191</v>
      </c>
      <c r="D618" t="s">
        <v>25</v>
      </c>
      <c r="E618" t="s">
        <v>26</v>
      </c>
      <c r="F618" t="s">
        <v>17</v>
      </c>
      <c r="G618" t="str">
        <f>"02"</f>
        <v>02</v>
      </c>
      <c r="H618" t="str">
        <f>"3  "</f>
        <v xml:space="preserve">3  </v>
      </c>
      <c r="I618" t="str">
        <f>"2020/08/05"</f>
        <v>2020/08/05</v>
      </c>
      <c r="J618" t="str">
        <f>"533"</f>
        <v>533</v>
      </c>
      <c r="K618" t="str">
        <f>"20250331"</f>
        <v>20250331</v>
      </c>
      <c r="L618" t="s">
        <v>18</v>
      </c>
      <c r="M618" t="str">
        <f>"20141029"</f>
        <v>20141029</v>
      </c>
    </row>
    <row r="619" spans="1:13" x14ac:dyDescent="0.25">
      <c r="A619" t="str">
        <f>"00292285"</f>
        <v>00292285</v>
      </c>
      <c r="B619" t="s">
        <v>1286</v>
      </c>
      <c r="C619" t="s">
        <v>1287</v>
      </c>
      <c r="D619" t="s">
        <v>80</v>
      </c>
      <c r="E619" t="s">
        <v>26</v>
      </c>
      <c r="F619" t="s">
        <v>17</v>
      </c>
      <c r="G619" t="str">
        <f>"02"</f>
        <v>02</v>
      </c>
      <c r="H619" t="str">
        <f>"3  "</f>
        <v xml:space="preserve">3  </v>
      </c>
      <c r="I619" t="str">
        <f>"2002/05/30"</f>
        <v>2002/05/30</v>
      </c>
      <c r="J619" t="str">
        <f>"510"</f>
        <v>510</v>
      </c>
      <c r="K619" t="str">
        <f>"20230115"</f>
        <v>20230115</v>
      </c>
      <c r="L619" t="s">
        <v>18</v>
      </c>
      <c r="M619" t="str">
        <f>"20011026"</f>
        <v>20011026</v>
      </c>
    </row>
    <row r="620" spans="1:13" x14ac:dyDescent="0.25">
      <c r="A620" t="str">
        <f>"00269348"</f>
        <v>00269348</v>
      </c>
      <c r="B620" t="s">
        <v>1288</v>
      </c>
      <c r="C620" t="s">
        <v>835</v>
      </c>
      <c r="D620" t="s">
        <v>61</v>
      </c>
      <c r="E620" t="s">
        <v>26</v>
      </c>
      <c r="F620" t="s">
        <v>17</v>
      </c>
      <c r="G620" t="str">
        <f>"02"</f>
        <v>02</v>
      </c>
      <c r="H620" t="str">
        <f>"3  "</f>
        <v xml:space="preserve">3  </v>
      </c>
      <c r="I620" t="str">
        <f>"2018/04/10"</f>
        <v>2018/04/10</v>
      </c>
      <c r="J620" t="str">
        <f>"110"</f>
        <v>110</v>
      </c>
      <c r="K620" t="str">
        <f>"20420412"</f>
        <v>20420412</v>
      </c>
      <c r="L620" t="s">
        <v>18</v>
      </c>
      <c r="M620" t="str">
        <f>"20180121"</f>
        <v>20180121</v>
      </c>
    </row>
    <row r="621" spans="1:13" x14ac:dyDescent="0.25">
      <c r="A621" t="str">
        <f>"00351980"</f>
        <v>00351980</v>
      </c>
      <c r="B621" t="s">
        <v>1288</v>
      </c>
      <c r="C621" t="s">
        <v>1289</v>
      </c>
      <c r="D621" t="s">
        <v>25</v>
      </c>
      <c r="E621" t="s">
        <v>16</v>
      </c>
      <c r="F621" t="s">
        <v>17</v>
      </c>
      <c r="G621" t="str">
        <f>"02"</f>
        <v>02</v>
      </c>
      <c r="H621" t="str">
        <f>"1  "</f>
        <v xml:space="preserve">1  </v>
      </c>
      <c r="I621" t="str">
        <f>"2020/09/18"</f>
        <v>2020/09/18</v>
      </c>
      <c r="J621" t="str">
        <f>"504"</f>
        <v>504</v>
      </c>
      <c r="K621" t="str">
        <f>"20210503"</f>
        <v>20210503</v>
      </c>
      <c r="L621" t="s">
        <v>18</v>
      </c>
      <c r="M621" t="str">
        <f>"20200620"</f>
        <v>20200620</v>
      </c>
    </row>
    <row r="622" spans="1:13" x14ac:dyDescent="0.25">
      <c r="A622" t="str">
        <f>"00321014"</f>
        <v>00321014</v>
      </c>
      <c r="B622" t="s">
        <v>1290</v>
      </c>
      <c r="C622" t="s">
        <v>1291</v>
      </c>
      <c r="D622" t="s">
        <v>25</v>
      </c>
      <c r="E622" t="s">
        <v>26</v>
      </c>
      <c r="F622" t="s">
        <v>17</v>
      </c>
      <c r="G622" t="str">
        <f>"02"</f>
        <v>02</v>
      </c>
      <c r="H622" t="str">
        <f>"3  "</f>
        <v xml:space="preserve">3  </v>
      </c>
      <c r="I622" t="str">
        <f>"2020/09/16"</f>
        <v>2020/09/16</v>
      </c>
      <c r="J622" t="str">
        <f>"533"</f>
        <v>533</v>
      </c>
      <c r="K622" t="str">
        <f>"20310919"</f>
        <v>20310919</v>
      </c>
      <c r="L622" t="s">
        <v>18</v>
      </c>
      <c r="M622" t="str">
        <f>"20111113"</f>
        <v>20111113</v>
      </c>
    </row>
    <row r="623" spans="1:13" x14ac:dyDescent="0.25">
      <c r="A623" t="str">
        <f>"00514814"</f>
        <v>00514814</v>
      </c>
      <c r="B623" t="s">
        <v>1290</v>
      </c>
      <c r="C623" t="s">
        <v>125</v>
      </c>
      <c r="D623" t="s">
        <v>25</v>
      </c>
      <c r="E623" t="s">
        <v>26</v>
      </c>
      <c r="F623" t="s">
        <v>17</v>
      </c>
      <c r="G623" t="str">
        <f>"02"</f>
        <v>02</v>
      </c>
      <c r="H623" t="str">
        <f>"7  "</f>
        <v xml:space="preserve">7  </v>
      </c>
      <c r="I623" t="str">
        <f>"2015/05/15"</f>
        <v>2015/05/15</v>
      </c>
      <c r="J623" t="str">
        <f>"534"</f>
        <v>534</v>
      </c>
      <c r="K623" t="s">
        <v>18</v>
      </c>
      <c r="L623" t="s">
        <v>18</v>
      </c>
      <c r="M623" t="str">
        <f>"20050914"</f>
        <v>20050914</v>
      </c>
    </row>
    <row r="624" spans="1:13" x14ac:dyDescent="0.25">
      <c r="A624" t="str">
        <f>"00187581"</f>
        <v>00187581</v>
      </c>
      <c r="B624" t="s">
        <v>1298</v>
      </c>
      <c r="C624" t="s">
        <v>623</v>
      </c>
      <c r="D624" t="s">
        <v>51</v>
      </c>
      <c r="E624" t="s">
        <v>26</v>
      </c>
      <c r="F624" t="s">
        <v>17</v>
      </c>
      <c r="G624" t="str">
        <f>"02"</f>
        <v>02</v>
      </c>
      <c r="H624" t="str">
        <f>"7  "</f>
        <v xml:space="preserve">7  </v>
      </c>
      <c r="I624" t="str">
        <f>"2002/10/17"</f>
        <v>2002/10/17</v>
      </c>
      <c r="J624" t="str">
        <f>"510"</f>
        <v>510</v>
      </c>
      <c r="K624" t="s">
        <v>18</v>
      </c>
      <c r="L624" t="s">
        <v>18</v>
      </c>
      <c r="M624" t="str">
        <f>"20011111"</f>
        <v>20011111</v>
      </c>
    </row>
    <row r="625" spans="1:13" x14ac:dyDescent="0.25">
      <c r="A625" t="str">
        <f>"00860757"</f>
        <v>00860757</v>
      </c>
      <c r="B625" t="s">
        <v>1300</v>
      </c>
      <c r="C625" t="s">
        <v>1301</v>
      </c>
      <c r="D625" t="s">
        <v>61</v>
      </c>
      <c r="E625" t="s">
        <v>16</v>
      </c>
      <c r="F625" t="s">
        <v>17</v>
      </c>
      <c r="G625" t="str">
        <f>"02"</f>
        <v>02</v>
      </c>
      <c r="H625" t="str">
        <f>"3  "</f>
        <v xml:space="preserve">3  </v>
      </c>
      <c r="I625" t="str">
        <f>"2019/11/27"</f>
        <v>2019/11/27</v>
      </c>
      <c r="J625" t="str">
        <f>"534"</f>
        <v>534</v>
      </c>
      <c r="K625" t="str">
        <f>"20450628"</f>
        <v>20450628</v>
      </c>
      <c r="L625" t="s">
        <v>18</v>
      </c>
      <c r="M625" t="str">
        <f>"20170727"</f>
        <v>20170727</v>
      </c>
    </row>
    <row r="626" spans="1:13" x14ac:dyDescent="0.25">
      <c r="A626" t="str">
        <f>"00383649"</f>
        <v>00383649</v>
      </c>
      <c r="B626" t="s">
        <v>1305</v>
      </c>
      <c r="C626" t="s">
        <v>437</v>
      </c>
      <c r="D626" t="s">
        <v>53</v>
      </c>
      <c r="E626" t="s">
        <v>26</v>
      </c>
      <c r="F626" t="s">
        <v>17</v>
      </c>
      <c r="G626" t="str">
        <f>"02"</f>
        <v>02</v>
      </c>
      <c r="H626" t="str">
        <f>"3  "</f>
        <v xml:space="preserve">3  </v>
      </c>
      <c r="I626" t="str">
        <f>"2015/01/09"</f>
        <v>2015/01/09</v>
      </c>
      <c r="J626" t="str">
        <f>"510"</f>
        <v>510</v>
      </c>
      <c r="K626" t="str">
        <f>"20480108"</f>
        <v>20480108</v>
      </c>
      <c r="L626" t="s">
        <v>18</v>
      </c>
      <c r="M626" t="str">
        <f>"20130413"</f>
        <v>20130413</v>
      </c>
    </row>
    <row r="627" spans="1:13" x14ac:dyDescent="0.25">
      <c r="A627" t="str">
        <f>"00732820"</f>
        <v>00732820</v>
      </c>
      <c r="B627" t="s">
        <v>1306</v>
      </c>
      <c r="C627" t="s">
        <v>465</v>
      </c>
      <c r="D627" t="s">
        <v>25</v>
      </c>
      <c r="E627" t="s">
        <v>26</v>
      </c>
      <c r="F627" t="s">
        <v>17</v>
      </c>
      <c r="G627" t="str">
        <f>"02"</f>
        <v>02</v>
      </c>
      <c r="H627" t="str">
        <f>"3  "</f>
        <v xml:space="preserve">3  </v>
      </c>
      <c r="I627" t="str">
        <f>"2020/09/16"</f>
        <v>2020/09/16</v>
      </c>
      <c r="J627" t="str">
        <f>"533"</f>
        <v>533</v>
      </c>
      <c r="K627" t="str">
        <f>"20250814"</f>
        <v>20250814</v>
      </c>
      <c r="L627" t="s">
        <v>18</v>
      </c>
      <c r="M627" t="str">
        <f>"20160918"</f>
        <v>20160918</v>
      </c>
    </row>
    <row r="628" spans="1:13" x14ac:dyDescent="0.25">
      <c r="A628" t="str">
        <f>"00210611"</f>
        <v>00210611</v>
      </c>
      <c r="B628" t="s">
        <v>1308</v>
      </c>
      <c r="C628" t="s">
        <v>1309</v>
      </c>
      <c r="D628" t="s">
        <v>16</v>
      </c>
      <c r="E628" t="s">
        <v>16</v>
      </c>
      <c r="F628" t="s">
        <v>17</v>
      </c>
      <c r="G628" t="str">
        <f>"02"</f>
        <v>02</v>
      </c>
      <c r="H628" t="str">
        <f>"7  "</f>
        <v xml:space="preserve">7  </v>
      </c>
      <c r="I628" t="str">
        <f>"2020/09/16"</f>
        <v>2020/09/16</v>
      </c>
      <c r="J628" t="str">
        <f>"533"</f>
        <v>533</v>
      </c>
      <c r="K628" t="s">
        <v>18</v>
      </c>
      <c r="L628" t="s">
        <v>18</v>
      </c>
      <c r="M628" t="str">
        <f>"20030506"</f>
        <v>20030506</v>
      </c>
    </row>
    <row r="629" spans="1:13" x14ac:dyDescent="0.25">
      <c r="A629" t="str">
        <f>"00188194"</f>
        <v>00188194</v>
      </c>
      <c r="B629" t="s">
        <v>1333</v>
      </c>
      <c r="C629" t="s">
        <v>308</v>
      </c>
      <c r="D629" t="s">
        <v>73</v>
      </c>
      <c r="E629" t="s">
        <v>16</v>
      </c>
      <c r="F629" t="s">
        <v>17</v>
      </c>
      <c r="G629" t="str">
        <f>"02"</f>
        <v>02</v>
      </c>
      <c r="H629" t="str">
        <f>"7  "</f>
        <v xml:space="preserve">7  </v>
      </c>
      <c r="I629" t="str">
        <f>"2001/01/24"</f>
        <v>2001/01/24</v>
      </c>
      <c r="J629" t="str">
        <f>"533"</f>
        <v>533</v>
      </c>
      <c r="K629" t="s">
        <v>18</v>
      </c>
      <c r="L629" t="str">
        <f>"20160804"</f>
        <v>20160804</v>
      </c>
      <c r="M629" t="str">
        <f>"19860821"</f>
        <v>19860821</v>
      </c>
    </row>
    <row r="630" spans="1:13" x14ac:dyDescent="0.25">
      <c r="A630" t="str">
        <f>"00180219"</f>
        <v>00180219</v>
      </c>
      <c r="B630" t="s">
        <v>1334</v>
      </c>
      <c r="C630" t="s">
        <v>308</v>
      </c>
      <c r="D630" t="s">
        <v>80</v>
      </c>
      <c r="E630" t="s">
        <v>26</v>
      </c>
      <c r="F630" t="s">
        <v>17</v>
      </c>
      <c r="G630" t="str">
        <f>"02"</f>
        <v>02</v>
      </c>
      <c r="H630" t="str">
        <f>"3  "</f>
        <v xml:space="preserve">3  </v>
      </c>
      <c r="I630" t="str">
        <f>"2006/11/22"</f>
        <v>2006/11/22</v>
      </c>
      <c r="J630" t="str">
        <f>"510"</f>
        <v>510</v>
      </c>
      <c r="K630" t="str">
        <f>"21100904"</f>
        <v>21100904</v>
      </c>
      <c r="L630" t="s">
        <v>18</v>
      </c>
      <c r="M630" t="str">
        <f>"20040922"</f>
        <v>20040922</v>
      </c>
    </row>
    <row r="631" spans="1:13" x14ac:dyDescent="0.25">
      <c r="A631" t="str">
        <f>"00459246"</f>
        <v>00459246</v>
      </c>
      <c r="B631" t="s">
        <v>1334</v>
      </c>
      <c r="C631" t="s">
        <v>1335</v>
      </c>
      <c r="D631" t="s">
        <v>31</v>
      </c>
      <c r="E631" t="s">
        <v>26</v>
      </c>
      <c r="F631" t="s">
        <v>17</v>
      </c>
      <c r="G631" t="str">
        <f>"02"</f>
        <v>02</v>
      </c>
      <c r="H631" t="str">
        <f>"1  "</f>
        <v xml:space="preserve">1  </v>
      </c>
      <c r="I631" t="str">
        <f>"2020/09/17"</f>
        <v>2020/09/17</v>
      </c>
      <c r="J631" t="str">
        <f>"110"</f>
        <v>110</v>
      </c>
      <c r="K631" t="str">
        <f>"20210226"</f>
        <v>20210226</v>
      </c>
      <c r="L631" t="s">
        <v>18</v>
      </c>
      <c r="M631" t="str">
        <f>"20200917"</f>
        <v>20200917</v>
      </c>
    </row>
    <row r="632" spans="1:13" x14ac:dyDescent="0.25">
      <c r="A632" t="str">
        <f>"00198859"</f>
        <v>00198859</v>
      </c>
      <c r="B632" t="s">
        <v>1334</v>
      </c>
      <c r="C632" t="s">
        <v>755</v>
      </c>
      <c r="D632" t="s">
        <v>15</v>
      </c>
      <c r="E632" t="s">
        <v>26</v>
      </c>
      <c r="F632" t="s">
        <v>17</v>
      </c>
      <c r="G632" t="str">
        <f>"02"</f>
        <v>02</v>
      </c>
      <c r="H632" t="str">
        <f>"3  "</f>
        <v xml:space="preserve">3  </v>
      </c>
      <c r="I632" t="str">
        <f>"2004/05/26"</f>
        <v>2004/05/26</v>
      </c>
      <c r="J632" t="str">
        <f>"503"</f>
        <v>503</v>
      </c>
      <c r="K632" t="str">
        <f>"20560712"</f>
        <v>20560712</v>
      </c>
      <c r="L632" t="s">
        <v>18</v>
      </c>
      <c r="M632" t="str">
        <f>"20040323"</f>
        <v>20040323</v>
      </c>
    </row>
    <row r="633" spans="1:13" x14ac:dyDescent="0.25">
      <c r="A633" t="str">
        <f>"00513468"</f>
        <v>00513468</v>
      </c>
      <c r="B633" t="s">
        <v>1338</v>
      </c>
      <c r="C633" t="s">
        <v>1339</v>
      </c>
      <c r="D633" t="s">
        <v>61</v>
      </c>
      <c r="E633" t="s">
        <v>26</v>
      </c>
      <c r="F633" t="s">
        <v>17</v>
      </c>
      <c r="G633" t="str">
        <f>"02"</f>
        <v>02</v>
      </c>
      <c r="H633" t="str">
        <f>"3  "</f>
        <v xml:space="preserve">3  </v>
      </c>
      <c r="I633" t="str">
        <f>"2018/09/14"</f>
        <v>2018/09/14</v>
      </c>
      <c r="J633" t="str">
        <f>"120"</f>
        <v>120</v>
      </c>
      <c r="K633" t="str">
        <f>"20261009"</f>
        <v>20261009</v>
      </c>
      <c r="L633" t="s">
        <v>18</v>
      </c>
      <c r="M633" t="str">
        <f>"20180903"</f>
        <v>20180903</v>
      </c>
    </row>
    <row r="634" spans="1:13" x14ac:dyDescent="0.25">
      <c r="A634" t="str">
        <f>"00432835"</f>
        <v>00432835</v>
      </c>
      <c r="B634" t="s">
        <v>1338</v>
      </c>
      <c r="C634" t="s">
        <v>96</v>
      </c>
      <c r="D634" t="s">
        <v>25</v>
      </c>
      <c r="E634" t="s">
        <v>26</v>
      </c>
      <c r="F634" t="s">
        <v>17</v>
      </c>
      <c r="G634" t="str">
        <f>"02"</f>
        <v>02</v>
      </c>
      <c r="H634" t="str">
        <f>"3  "</f>
        <v xml:space="preserve">3  </v>
      </c>
      <c r="I634" t="str">
        <f>"2011/09/06"</f>
        <v>2011/09/06</v>
      </c>
      <c r="J634" t="str">
        <f>"503"</f>
        <v>503</v>
      </c>
      <c r="K634" t="str">
        <f>"20390219"</f>
        <v>20390219</v>
      </c>
      <c r="L634" t="s">
        <v>18</v>
      </c>
      <c r="M634" t="str">
        <f>"20100521"</f>
        <v>20100521</v>
      </c>
    </row>
    <row r="635" spans="1:13" x14ac:dyDescent="0.25">
      <c r="A635" t="str">
        <f>"00161286"</f>
        <v>00161286</v>
      </c>
      <c r="B635" t="s">
        <v>1338</v>
      </c>
      <c r="C635" t="s">
        <v>74</v>
      </c>
      <c r="D635" t="s">
        <v>25</v>
      </c>
      <c r="E635" t="s">
        <v>26</v>
      </c>
      <c r="F635" t="s">
        <v>17</v>
      </c>
      <c r="G635" t="str">
        <f>"02"</f>
        <v>02</v>
      </c>
      <c r="H635" t="str">
        <f>"7  "</f>
        <v xml:space="preserve">7  </v>
      </c>
      <c r="I635" t="str">
        <f>"2004/03/11"</f>
        <v>2004/03/11</v>
      </c>
      <c r="J635" t="str">
        <f>"110"</f>
        <v>110</v>
      </c>
      <c r="K635" t="s">
        <v>18</v>
      </c>
      <c r="L635" t="s">
        <v>18</v>
      </c>
      <c r="M635" t="str">
        <f>"20030723"</f>
        <v>20030723</v>
      </c>
    </row>
    <row r="636" spans="1:13" x14ac:dyDescent="0.25">
      <c r="A636" t="str">
        <f>"00386670"</f>
        <v>00386670</v>
      </c>
      <c r="B636" t="s">
        <v>1341</v>
      </c>
      <c r="C636" t="s">
        <v>398</v>
      </c>
      <c r="D636" t="s">
        <v>26</v>
      </c>
      <c r="E636" t="s">
        <v>16</v>
      </c>
      <c r="F636" t="s">
        <v>17</v>
      </c>
      <c r="G636" t="str">
        <f>"02"</f>
        <v>02</v>
      </c>
      <c r="H636" t="str">
        <f>"3  "</f>
        <v xml:space="preserve">3  </v>
      </c>
      <c r="I636" t="str">
        <f>"2013/05/08"</f>
        <v>2013/05/08</v>
      </c>
      <c r="J636" t="str">
        <f>"110"</f>
        <v>110</v>
      </c>
      <c r="K636" t="str">
        <f>"20210804"</f>
        <v>20210804</v>
      </c>
      <c r="L636" t="s">
        <v>18</v>
      </c>
      <c r="M636" t="str">
        <f>"20120816"</f>
        <v>20120816</v>
      </c>
    </row>
    <row r="637" spans="1:13" x14ac:dyDescent="0.25">
      <c r="A637" t="str">
        <f>"00169927"</f>
        <v>00169927</v>
      </c>
      <c r="B637" t="s">
        <v>1344</v>
      </c>
      <c r="C637" t="s">
        <v>72</v>
      </c>
      <c r="D637" t="s">
        <v>61</v>
      </c>
      <c r="E637" t="s">
        <v>26</v>
      </c>
      <c r="F637" t="s">
        <v>17</v>
      </c>
      <c r="G637" t="str">
        <f>"02"</f>
        <v>02</v>
      </c>
      <c r="H637" t="str">
        <f>"3  "</f>
        <v xml:space="preserve">3  </v>
      </c>
      <c r="I637" t="str">
        <f>"2019/08/02"</f>
        <v>2019/08/02</v>
      </c>
      <c r="J637" t="str">
        <f>"510"</f>
        <v>510</v>
      </c>
      <c r="K637" t="str">
        <f>"20450211"</f>
        <v>20450211</v>
      </c>
      <c r="L637" t="s">
        <v>18</v>
      </c>
      <c r="M637" t="str">
        <f>"20180120"</f>
        <v>20180120</v>
      </c>
    </row>
    <row r="638" spans="1:13" x14ac:dyDescent="0.25">
      <c r="A638" t="str">
        <f>"00306218"</f>
        <v>00306218</v>
      </c>
      <c r="B638" t="s">
        <v>1346</v>
      </c>
      <c r="C638" t="s">
        <v>96</v>
      </c>
      <c r="D638" t="s">
        <v>25</v>
      </c>
      <c r="E638" t="s">
        <v>26</v>
      </c>
      <c r="F638" t="s">
        <v>17</v>
      </c>
      <c r="G638" t="str">
        <f>"02"</f>
        <v>02</v>
      </c>
      <c r="H638" t="str">
        <f>"3  "</f>
        <v xml:space="preserve">3  </v>
      </c>
      <c r="I638" t="str">
        <f>"2002/06/07"</f>
        <v>2002/06/07</v>
      </c>
      <c r="J638" t="str">
        <f>"110"</f>
        <v>110</v>
      </c>
      <c r="K638" t="str">
        <f>"20270514"</f>
        <v>20270514</v>
      </c>
      <c r="L638" t="s">
        <v>18</v>
      </c>
      <c r="M638" t="str">
        <f>"20010416"</f>
        <v>20010416</v>
      </c>
    </row>
    <row r="639" spans="1:13" x14ac:dyDescent="0.25">
      <c r="A639" t="str">
        <f>"00412355"</f>
        <v>00412355</v>
      </c>
      <c r="B639" t="s">
        <v>1347</v>
      </c>
      <c r="C639" t="s">
        <v>122</v>
      </c>
      <c r="D639" t="s">
        <v>61</v>
      </c>
      <c r="E639" t="s">
        <v>15</v>
      </c>
      <c r="F639" t="s">
        <v>17</v>
      </c>
      <c r="G639" t="str">
        <f>"02"</f>
        <v>02</v>
      </c>
      <c r="H639" t="str">
        <f>"3  "</f>
        <v xml:space="preserve">3  </v>
      </c>
      <c r="I639" t="str">
        <f>"2014/01/17"</f>
        <v>2014/01/17</v>
      </c>
      <c r="J639" t="str">
        <f>"510"</f>
        <v>510</v>
      </c>
      <c r="K639" t="str">
        <f>"20330908"</f>
        <v>20330908</v>
      </c>
      <c r="L639" t="s">
        <v>18</v>
      </c>
      <c r="M639" t="str">
        <f>"20120216"</f>
        <v>20120216</v>
      </c>
    </row>
    <row r="640" spans="1:13" x14ac:dyDescent="0.25">
      <c r="A640" t="str">
        <f>"00345118"</f>
        <v>00345118</v>
      </c>
      <c r="B640" t="s">
        <v>1349</v>
      </c>
      <c r="C640" t="s">
        <v>55</v>
      </c>
      <c r="D640" t="s">
        <v>26</v>
      </c>
      <c r="E640" t="s">
        <v>16</v>
      </c>
      <c r="F640" t="s">
        <v>17</v>
      </c>
      <c r="G640" t="str">
        <f>"02"</f>
        <v>02</v>
      </c>
      <c r="H640" t="str">
        <f>"3  "</f>
        <v xml:space="preserve">3  </v>
      </c>
      <c r="I640" t="str">
        <f>"2017/11/01"</f>
        <v>2017/11/01</v>
      </c>
      <c r="J640" t="str">
        <f>"534"</f>
        <v>534</v>
      </c>
      <c r="K640" t="str">
        <f>"20230627"</f>
        <v>20230627</v>
      </c>
      <c r="L640" t="s">
        <v>18</v>
      </c>
      <c r="M640" t="str">
        <f>"20150605"</f>
        <v>20150605</v>
      </c>
    </row>
    <row r="641" spans="1:13" x14ac:dyDescent="0.25">
      <c r="A641" t="str">
        <f>"00710473"</f>
        <v>00710473</v>
      </c>
      <c r="B641" t="s">
        <v>1353</v>
      </c>
      <c r="C641" t="s">
        <v>140</v>
      </c>
      <c r="D641" t="s">
        <v>25</v>
      </c>
      <c r="E641" t="s">
        <v>26</v>
      </c>
      <c r="F641" t="s">
        <v>17</v>
      </c>
      <c r="G641" t="str">
        <f>"02"</f>
        <v>02</v>
      </c>
      <c r="H641" t="str">
        <f>"3  "</f>
        <v xml:space="preserve">3  </v>
      </c>
      <c r="I641" t="str">
        <f>"2018/04/20"</f>
        <v>2018/04/20</v>
      </c>
      <c r="J641" t="str">
        <f>"510"</f>
        <v>510</v>
      </c>
      <c r="K641" t="str">
        <f>"20210213"</f>
        <v>20210213</v>
      </c>
      <c r="L641" t="s">
        <v>18</v>
      </c>
      <c r="M641" t="str">
        <f>"20170506"</f>
        <v>20170506</v>
      </c>
    </row>
    <row r="642" spans="1:13" x14ac:dyDescent="0.25">
      <c r="A642" t="str">
        <f>"00175616"</f>
        <v>00175616</v>
      </c>
      <c r="B642" t="s">
        <v>1354</v>
      </c>
      <c r="C642" t="s">
        <v>444</v>
      </c>
      <c r="D642" t="s">
        <v>80</v>
      </c>
      <c r="E642" t="s">
        <v>26</v>
      </c>
      <c r="F642" t="s">
        <v>17</v>
      </c>
      <c r="G642" t="str">
        <f>"02"</f>
        <v>02</v>
      </c>
      <c r="H642" t="str">
        <f>"3  "</f>
        <v xml:space="preserve">3  </v>
      </c>
      <c r="I642" t="str">
        <f>"2016/11/18"</f>
        <v>2016/11/18</v>
      </c>
      <c r="J642" t="str">
        <f>"510"</f>
        <v>510</v>
      </c>
      <c r="K642" t="str">
        <f>"20290719"</f>
        <v>20290719</v>
      </c>
      <c r="L642" t="s">
        <v>18</v>
      </c>
      <c r="M642" t="str">
        <f>"20140528"</f>
        <v>20140528</v>
      </c>
    </row>
    <row r="643" spans="1:13" x14ac:dyDescent="0.25">
      <c r="A643" t="str">
        <f>"00529246"</f>
        <v>00529246</v>
      </c>
      <c r="B643" t="s">
        <v>1354</v>
      </c>
      <c r="C643" t="s">
        <v>430</v>
      </c>
      <c r="D643" t="s">
        <v>37</v>
      </c>
      <c r="E643" t="s">
        <v>26</v>
      </c>
      <c r="F643" t="s">
        <v>17</v>
      </c>
      <c r="G643" t="str">
        <f>"02"</f>
        <v>02</v>
      </c>
      <c r="H643" t="str">
        <f>"3  "</f>
        <v xml:space="preserve">3  </v>
      </c>
      <c r="I643" t="str">
        <f>"2006/09/14"</f>
        <v>2006/09/14</v>
      </c>
      <c r="J643" t="str">
        <f>"510"</f>
        <v>510</v>
      </c>
      <c r="K643" t="str">
        <f>"20240409"</f>
        <v>20240409</v>
      </c>
      <c r="L643" t="s">
        <v>18</v>
      </c>
      <c r="M643" t="str">
        <f>"20040608"</f>
        <v>20040608</v>
      </c>
    </row>
    <row r="644" spans="1:13" x14ac:dyDescent="0.25">
      <c r="A644" t="str">
        <f>"00503383"</f>
        <v>00503383</v>
      </c>
      <c r="B644" t="s">
        <v>1354</v>
      </c>
      <c r="C644" t="s">
        <v>308</v>
      </c>
      <c r="D644" t="s">
        <v>45</v>
      </c>
      <c r="E644" t="s">
        <v>16</v>
      </c>
      <c r="F644" t="s">
        <v>17</v>
      </c>
      <c r="G644" t="str">
        <f>"02"</f>
        <v>02</v>
      </c>
      <c r="H644" t="str">
        <f>"3  "</f>
        <v xml:space="preserve">3  </v>
      </c>
      <c r="I644" t="str">
        <f>"2017/04/18"</f>
        <v>2017/04/18</v>
      </c>
      <c r="J644" t="str">
        <f>"510"</f>
        <v>510</v>
      </c>
      <c r="K644" t="str">
        <f>"20211203"</f>
        <v>20211203</v>
      </c>
      <c r="L644" t="s">
        <v>18</v>
      </c>
      <c r="M644" t="str">
        <f>"20141026"</f>
        <v>20141026</v>
      </c>
    </row>
    <row r="645" spans="1:13" x14ac:dyDescent="0.25">
      <c r="A645" t="str">
        <f>"00520463"</f>
        <v>00520463</v>
      </c>
      <c r="B645" t="s">
        <v>1358</v>
      </c>
      <c r="C645" t="s">
        <v>96</v>
      </c>
      <c r="D645" t="s">
        <v>91</v>
      </c>
      <c r="E645" t="s">
        <v>16</v>
      </c>
      <c r="F645" t="s">
        <v>17</v>
      </c>
      <c r="G645" t="str">
        <f>"02"</f>
        <v>02</v>
      </c>
      <c r="H645" t="str">
        <f>"3  "</f>
        <v xml:space="preserve">3  </v>
      </c>
      <c r="I645" t="str">
        <f>"2008/02/28"</f>
        <v>2008/02/28</v>
      </c>
      <c r="J645" t="str">
        <f>"503"</f>
        <v>503</v>
      </c>
      <c r="K645" t="str">
        <f>"20360915"</f>
        <v>20360915</v>
      </c>
      <c r="L645" t="s">
        <v>18</v>
      </c>
      <c r="M645" t="str">
        <f>"20040108"</f>
        <v>20040108</v>
      </c>
    </row>
    <row r="646" spans="1:13" x14ac:dyDescent="0.25">
      <c r="A646" t="str">
        <f>"00227109"</f>
        <v>00227109</v>
      </c>
      <c r="B646" t="s">
        <v>1361</v>
      </c>
      <c r="C646" t="s">
        <v>136</v>
      </c>
      <c r="D646" t="s">
        <v>51</v>
      </c>
      <c r="E646" t="s">
        <v>16</v>
      </c>
      <c r="F646" t="s">
        <v>17</v>
      </c>
      <c r="G646" t="str">
        <f>"02"</f>
        <v>02</v>
      </c>
      <c r="H646" t="str">
        <f>"7  "</f>
        <v xml:space="preserve">7  </v>
      </c>
      <c r="I646" t="str">
        <f>"2018/02/16"</f>
        <v>2018/02/16</v>
      </c>
      <c r="J646" t="str">
        <f>"503"</f>
        <v>503</v>
      </c>
      <c r="K646" t="s">
        <v>18</v>
      </c>
      <c r="L646" t="s">
        <v>18</v>
      </c>
      <c r="M646" t="str">
        <f>"20151227"</f>
        <v>20151227</v>
      </c>
    </row>
    <row r="647" spans="1:13" x14ac:dyDescent="0.25">
      <c r="A647" t="str">
        <f>"00463539"</f>
        <v>00463539</v>
      </c>
      <c r="B647" t="s">
        <v>1362</v>
      </c>
      <c r="C647" t="s">
        <v>74</v>
      </c>
      <c r="D647" t="s">
        <v>15</v>
      </c>
      <c r="E647" t="s">
        <v>26</v>
      </c>
      <c r="F647" t="s">
        <v>17</v>
      </c>
      <c r="G647" t="str">
        <f>"02"</f>
        <v>02</v>
      </c>
      <c r="H647" t="str">
        <f>"3  "</f>
        <v xml:space="preserve">3  </v>
      </c>
      <c r="I647" t="str">
        <f>"2002/11/12"</f>
        <v>2002/11/12</v>
      </c>
      <c r="J647" t="str">
        <f>"110"</f>
        <v>110</v>
      </c>
      <c r="K647" t="str">
        <f>"20270810"</f>
        <v>20270810</v>
      </c>
      <c r="L647" t="s">
        <v>18</v>
      </c>
      <c r="M647" t="str">
        <f>"20010824"</f>
        <v>20010824</v>
      </c>
    </row>
    <row r="648" spans="1:13" x14ac:dyDescent="0.25">
      <c r="A648" t="str">
        <f>"00544039"</f>
        <v>00544039</v>
      </c>
      <c r="B648" t="s">
        <v>1363</v>
      </c>
      <c r="C648" t="s">
        <v>1364</v>
      </c>
      <c r="D648" t="s">
        <v>25</v>
      </c>
      <c r="E648" t="s">
        <v>26</v>
      </c>
      <c r="F648" t="s">
        <v>17</v>
      </c>
      <c r="G648" t="str">
        <f>"02"</f>
        <v>02</v>
      </c>
      <c r="H648" t="str">
        <f>"3  "</f>
        <v xml:space="preserve">3  </v>
      </c>
      <c r="I648" t="str">
        <f>"2015/08/18"</f>
        <v>2015/08/18</v>
      </c>
      <c r="J648" t="str">
        <f>"510"</f>
        <v>510</v>
      </c>
      <c r="K648" t="str">
        <f>"20310520"</f>
        <v>20310520</v>
      </c>
      <c r="L648" t="s">
        <v>18</v>
      </c>
      <c r="M648" t="str">
        <f>"20140625"</f>
        <v>20140625</v>
      </c>
    </row>
    <row r="649" spans="1:13" x14ac:dyDescent="0.25">
      <c r="A649" t="str">
        <f>"00239553"</f>
        <v>00239553</v>
      </c>
      <c r="B649" t="s">
        <v>1363</v>
      </c>
      <c r="C649" t="s">
        <v>59</v>
      </c>
      <c r="D649" t="s">
        <v>51</v>
      </c>
      <c r="E649" t="s">
        <v>26</v>
      </c>
      <c r="F649" t="s">
        <v>17</v>
      </c>
      <c r="G649" t="str">
        <f>"02"</f>
        <v>02</v>
      </c>
      <c r="H649" t="str">
        <f>"3  "</f>
        <v xml:space="preserve">3  </v>
      </c>
      <c r="I649" t="str">
        <f>"2019/05/03"</f>
        <v>2019/05/03</v>
      </c>
      <c r="J649" t="str">
        <f>"510"</f>
        <v>510</v>
      </c>
      <c r="K649" t="str">
        <f>"20310124"</f>
        <v>20310124</v>
      </c>
      <c r="L649" t="s">
        <v>18</v>
      </c>
      <c r="M649" t="str">
        <f>"20170731"</f>
        <v>20170731</v>
      </c>
    </row>
    <row r="650" spans="1:13" x14ac:dyDescent="0.25">
      <c r="A650" t="str">
        <f>"00143300"</f>
        <v>00143300</v>
      </c>
      <c r="B650" t="s">
        <v>1365</v>
      </c>
      <c r="C650" t="s">
        <v>96</v>
      </c>
      <c r="D650" t="s">
        <v>40</v>
      </c>
      <c r="E650" t="s">
        <v>16</v>
      </c>
      <c r="F650" t="s">
        <v>17</v>
      </c>
      <c r="G650" t="str">
        <f>"02"</f>
        <v>02</v>
      </c>
      <c r="H650" t="str">
        <f>"7  "</f>
        <v xml:space="preserve">7  </v>
      </c>
      <c r="I650" t="str">
        <f>"2001/01/17"</f>
        <v>2001/01/17</v>
      </c>
      <c r="J650" t="str">
        <f>"533"</f>
        <v>533</v>
      </c>
      <c r="K650" t="s">
        <v>18</v>
      </c>
      <c r="L650" t="str">
        <f>"20450925"</f>
        <v>20450925</v>
      </c>
      <c r="M650" t="str">
        <f>"19850926"</f>
        <v>19850926</v>
      </c>
    </row>
    <row r="651" spans="1:13" x14ac:dyDescent="0.25">
      <c r="A651" t="str">
        <f>"00560369"</f>
        <v>00560369</v>
      </c>
      <c r="B651" t="s">
        <v>1369</v>
      </c>
      <c r="C651" t="s">
        <v>709</v>
      </c>
      <c r="D651" t="s">
        <v>21</v>
      </c>
      <c r="E651" t="s">
        <v>26</v>
      </c>
      <c r="F651" t="s">
        <v>17</v>
      </c>
      <c r="G651" t="str">
        <f>"02"</f>
        <v>02</v>
      </c>
      <c r="H651" t="str">
        <f>"3  "</f>
        <v xml:space="preserve">3  </v>
      </c>
      <c r="I651" t="str">
        <f>"2014/09/29"</f>
        <v>2014/09/29</v>
      </c>
      <c r="J651" t="str">
        <f>"110"</f>
        <v>110</v>
      </c>
      <c r="K651" t="str">
        <f>"20221206"</f>
        <v>20221206</v>
      </c>
      <c r="L651" t="s">
        <v>18</v>
      </c>
      <c r="M651" t="str">
        <f>"20140425"</f>
        <v>20140425</v>
      </c>
    </row>
    <row r="652" spans="1:13" x14ac:dyDescent="0.25">
      <c r="A652" t="str">
        <f>"00424502"</f>
        <v>00424502</v>
      </c>
      <c r="B652" t="s">
        <v>1372</v>
      </c>
      <c r="C652" t="s">
        <v>74</v>
      </c>
      <c r="D652" t="s">
        <v>73</v>
      </c>
      <c r="E652" t="s">
        <v>16</v>
      </c>
      <c r="F652" t="s">
        <v>17</v>
      </c>
      <c r="G652" t="str">
        <f>"02"</f>
        <v>02</v>
      </c>
      <c r="H652" t="str">
        <f>"7  "</f>
        <v xml:space="preserve">7  </v>
      </c>
      <c r="I652" t="str">
        <f>"2016/11/16"</f>
        <v>2016/11/16</v>
      </c>
      <c r="J652" t="str">
        <f>"503"</f>
        <v>503</v>
      </c>
      <c r="K652" t="s">
        <v>18</v>
      </c>
      <c r="L652" t="s">
        <v>18</v>
      </c>
      <c r="M652" t="str">
        <f>"20130212"</f>
        <v>20130212</v>
      </c>
    </row>
    <row r="653" spans="1:13" x14ac:dyDescent="0.25">
      <c r="A653" t="str">
        <f>"00340743"</f>
        <v>00340743</v>
      </c>
      <c r="B653" t="s">
        <v>1374</v>
      </c>
      <c r="C653" t="s">
        <v>55</v>
      </c>
      <c r="D653" t="s">
        <v>15</v>
      </c>
      <c r="E653" t="s">
        <v>16</v>
      </c>
      <c r="F653" t="s">
        <v>17</v>
      </c>
      <c r="G653" t="str">
        <f>"02"</f>
        <v>02</v>
      </c>
      <c r="H653" t="str">
        <f>"3  "</f>
        <v xml:space="preserve">3  </v>
      </c>
      <c r="I653" t="str">
        <f>"1997/03/27"</f>
        <v>1997/03/27</v>
      </c>
      <c r="J653" t="str">
        <f>"502"</f>
        <v>502</v>
      </c>
      <c r="K653" t="str">
        <f>"20501005"</f>
        <v>20501005</v>
      </c>
      <c r="L653" t="s">
        <v>18</v>
      </c>
      <c r="M653" t="str">
        <f>"19961001"</f>
        <v>19961001</v>
      </c>
    </row>
    <row r="654" spans="1:13" x14ac:dyDescent="0.25">
      <c r="A654" t="str">
        <f>"00414890"</f>
        <v>00414890</v>
      </c>
      <c r="B654" t="s">
        <v>1375</v>
      </c>
      <c r="C654" t="s">
        <v>269</v>
      </c>
      <c r="D654" t="s">
        <v>25</v>
      </c>
      <c r="E654" t="s">
        <v>16</v>
      </c>
      <c r="F654" t="s">
        <v>17</v>
      </c>
      <c r="G654" t="str">
        <f>"02"</f>
        <v>02</v>
      </c>
      <c r="H654" t="str">
        <f>"7  "</f>
        <v xml:space="preserve">7  </v>
      </c>
      <c r="I654" t="str">
        <f>"2020/07/08"</f>
        <v>2020/07/08</v>
      </c>
      <c r="J654" t="str">
        <f>"503"</f>
        <v>503</v>
      </c>
      <c r="K654" t="s">
        <v>18</v>
      </c>
      <c r="L654" t="s">
        <v>18</v>
      </c>
      <c r="M654" t="str">
        <f>"20070321"</f>
        <v>20070321</v>
      </c>
    </row>
    <row r="655" spans="1:13" x14ac:dyDescent="0.25">
      <c r="A655" t="str">
        <f>"00831666"</f>
        <v>00831666</v>
      </c>
      <c r="B655" t="s">
        <v>1377</v>
      </c>
      <c r="C655" t="s">
        <v>1378</v>
      </c>
      <c r="D655" t="s">
        <v>25</v>
      </c>
      <c r="E655" t="s">
        <v>16</v>
      </c>
      <c r="F655" t="s">
        <v>17</v>
      </c>
      <c r="G655" t="str">
        <f>"02"</f>
        <v>02</v>
      </c>
      <c r="H655" t="str">
        <f>"3  "</f>
        <v xml:space="preserve">3  </v>
      </c>
      <c r="I655" t="str">
        <f>"2017/10/10"</f>
        <v>2017/10/10</v>
      </c>
      <c r="J655" t="str">
        <f>"510"</f>
        <v>510</v>
      </c>
      <c r="K655" t="str">
        <f>"20390502"</f>
        <v>20390502</v>
      </c>
      <c r="L655" t="s">
        <v>18</v>
      </c>
      <c r="M655" t="str">
        <f>"20161216"</f>
        <v>20161216</v>
      </c>
    </row>
    <row r="656" spans="1:13" x14ac:dyDescent="0.25">
      <c r="A656" t="str">
        <f>"00830000"</f>
        <v>00830000</v>
      </c>
      <c r="B656" t="s">
        <v>1381</v>
      </c>
      <c r="C656" t="s">
        <v>906</v>
      </c>
      <c r="D656" t="s">
        <v>25</v>
      </c>
      <c r="E656" t="s">
        <v>16</v>
      </c>
      <c r="F656" t="s">
        <v>17</v>
      </c>
      <c r="G656" t="str">
        <f>"02"</f>
        <v>02</v>
      </c>
      <c r="H656" t="str">
        <f>"3  "</f>
        <v xml:space="preserve">3  </v>
      </c>
      <c r="I656" t="str">
        <f>"2016/12/01"</f>
        <v>2016/12/01</v>
      </c>
      <c r="J656" t="str">
        <f>"110"</f>
        <v>110</v>
      </c>
      <c r="K656" t="str">
        <f>"20290815"</f>
        <v>20290815</v>
      </c>
      <c r="L656" t="s">
        <v>18</v>
      </c>
      <c r="M656" t="str">
        <f>"20160614"</f>
        <v>20160614</v>
      </c>
    </row>
    <row r="657" spans="1:13" x14ac:dyDescent="0.25">
      <c r="A657" t="str">
        <f>"00566134"</f>
        <v>00566134</v>
      </c>
      <c r="B657" t="s">
        <v>1382</v>
      </c>
      <c r="C657" t="s">
        <v>96</v>
      </c>
      <c r="D657" t="s">
        <v>73</v>
      </c>
      <c r="E657" t="s">
        <v>16</v>
      </c>
      <c r="F657" t="s">
        <v>17</v>
      </c>
      <c r="G657" t="str">
        <f>"02"</f>
        <v>02</v>
      </c>
      <c r="H657" t="str">
        <f>"3  "</f>
        <v xml:space="preserve">3  </v>
      </c>
      <c r="I657" t="str">
        <f>"2017/11/06"</f>
        <v>2017/11/06</v>
      </c>
      <c r="J657" t="str">
        <f>"510"</f>
        <v>510</v>
      </c>
      <c r="K657" t="str">
        <f>"20240210"</f>
        <v>20240210</v>
      </c>
      <c r="L657" t="s">
        <v>18</v>
      </c>
      <c r="M657" t="str">
        <f>"20161202"</f>
        <v>20161202</v>
      </c>
    </row>
    <row r="658" spans="1:13" x14ac:dyDescent="0.25">
      <c r="A658" t="str">
        <f>"00191247"</f>
        <v>00191247</v>
      </c>
      <c r="B658" t="s">
        <v>1385</v>
      </c>
      <c r="C658" t="s">
        <v>1386</v>
      </c>
      <c r="D658" t="s">
        <v>47</v>
      </c>
      <c r="E658" t="s">
        <v>26</v>
      </c>
      <c r="F658" t="s">
        <v>17</v>
      </c>
      <c r="G658" t="str">
        <f>"02"</f>
        <v>02</v>
      </c>
      <c r="H658" t="str">
        <f>"3  "</f>
        <v xml:space="preserve">3  </v>
      </c>
      <c r="I658" t="str">
        <f>"2008/04/16"</f>
        <v>2008/04/16</v>
      </c>
      <c r="J658" t="str">
        <f>"510"</f>
        <v>510</v>
      </c>
      <c r="K658" t="str">
        <f>"20711008"</f>
        <v>20711008</v>
      </c>
      <c r="L658" t="s">
        <v>18</v>
      </c>
      <c r="M658" t="str">
        <f>"20060916"</f>
        <v>20060916</v>
      </c>
    </row>
    <row r="659" spans="1:13" x14ac:dyDescent="0.25">
      <c r="A659" t="str">
        <f>"00311408"</f>
        <v>00311408</v>
      </c>
      <c r="B659" t="s">
        <v>1385</v>
      </c>
      <c r="C659" t="s">
        <v>117</v>
      </c>
      <c r="D659" t="s">
        <v>16</v>
      </c>
      <c r="E659" t="s">
        <v>26</v>
      </c>
      <c r="F659" t="s">
        <v>17</v>
      </c>
      <c r="G659" t="str">
        <f>"02"</f>
        <v>02</v>
      </c>
      <c r="H659" t="str">
        <f>"3  "</f>
        <v xml:space="preserve">3  </v>
      </c>
      <c r="I659" t="str">
        <f>"2012/11/14"</f>
        <v>2012/11/14</v>
      </c>
      <c r="J659" t="str">
        <f>"120"</f>
        <v>120</v>
      </c>
      <c r="K659" t="str">
        <f>"20251003"</f>
        <v>20251003</v>
      </c>
      <c r="L659" t="s">
        <v>18</v>
      </c>
      <c r="M659" t="str">
        <f>"20120503"</f>
        <v>20120503</v>
      </c>
    </row>
    <row r="660" spans="1:13" x14ac:dyDescent="0.25">
      <c r="A660" t="str">
        <f>"00419225"</f>
        <v>00419225</v>
      </c>
      <c r="B660" t="s">
        <v>1385</v>
      </c>
      <c r="C660" t="s">
        <v>140</v>
      </c>
      <c r="D660" t="s">
        <v>80</v>
      </c>
      <c r="E660" t="s">
        <v>16</v>
      </c>
      <c r="F660" t="s">
        <v>17</v>
      </c>
      <c r="G660" t="str">
        <f>"02"</f>
        <v>02</v>
      </c>
      <c r="H660" t="str">
        <f>"3  "</f>
        <v xml:space="preserve">3  </v>
      </c>
      <c r="I660" t="str">
        <f>"2006/06/26"</f>
        <v>2006/06/26</v>
      </c>
      <c r="J660" t="str">
        <f>"503"</f>
        <v>503</v>
      </c>
      <c r="K660" t="str">
        <f>"20211005"</f>
        <v>20211005</v>
      </c>
      <c r="L660" t="s">
        <v>18</v>
      </c>
      <c r="M660" t="str">
        <f>"20031021"</f>
        <v>20031021</v>
      </c>
    </row>
    <row r="661" spans="1:13" x14ac:dyDescent="0.25">
      <c r="A661" t="str">
        <f>"00247389"</f>
        <v>00247389</v>
      </c>
      <c r="B661" t="s">
        <v>1385</v>
      </c>
      <c r="C661" t="s">
        <v>404</v>
      </c>
      <c r="D661" t="s">
        <v>61</v>
      </c>
      <c r="E661" t="s">
        <v>26</v>
      </c>
      <c r="F661" t="s">
        <v>17</v>
      </c>
      <c r="G661" t="str">
        <f>"02"</f>
        <v>02</v>
      </c>
      <c r="H661" t="str">
        <f>"3  "</f>
        <v xml:space="preserve">3  </v>
      </c>
      <c r="I661" t="str">
        <f>"1997/04/22"</f>
        <v>1997/04/22</v>
      </c>
      <c r="J661" t="str">
        <f>"110"</f>
        <v>110</v>
      </c>
      <c r="K661" t="str">
        <f>"20511029"</f>
        <v>20511029</v>
      </c>
      <c r="L661" t="s">
        <v>18</v>
      </c>
      <c r="M661" t="str">
        <f>"19960424"</f>
        <v>19960424</v>
      </c>
    </row>
    <row r="662" spans="1:13" x14ac:dyDescent="0.25">
      <c r="A662" t="str">
        <f>"00405926"</f>
        <v>00405926</v>
      </c>
      <c r="B662" t="s">
        <v>1385</v>
      </c>
      <c r="C662" t="s">
        <v>1388</v>
      </c>
      <c r="D662" t="s">
        <v>40</v>
      </c>
      <c r="E662" t="s">
        <v>26</v>
      </c>
      <c r="F662" t="s">
        <v>17</v>
      </c>
      <c r="G662" t="str">
        <f>"02"</f>
        <v>02</v>
      </c>
      <c r="H662" t="str">
        <f>"3  "</f>
        <v xml:space="preserve">3  </v>
      </c>
      <c r="I662" t="str">
        <f>"2005/03/15"</f>
        <v>2005/03/15</v>
      </c>
      <c r="J662" t="str">
        <f>"510"</f>
        <v>510</v>
      </c>
      <c r="K662" t="str">
        <f>"20720121"</f>
        <v>20720121</v>
      </c>
      <c r="L662" t="s">
        <v>18</v>
      </c>
      <c r="M662" t="str">
        <f>"20011110"</f>
        <v>20011110</v>
      </c>
    </row>
    <row r="663" spans="1:13" x14ac:dyDescent="0.25">
      <c r="A663" t="str">
        <f>"00301403"</f>
        <v>00301403</v>
      </c>
      <c r="B663" t="s">
        <v>1385</v>
      </c>
      <c r="C663" t="s">
        <v>442</v>
      </c>
      <c r="D663" t="s">
        <v>61</v>
      </c>
      <c r="E663" t="s">
        <v>16</v>
      </c>
      <c r="F663" t="s">
        <v>17</v>
      </c>
      <c r="G663" t="str">
        <f>"02"</f>
        <v>02</v>
      </c>
      <c r="H663" t="str">
        <f>"3  "</f>
        <v xml:space="preserve">3  </v>
      </c>
      <c r="I663" t="str">
        <f>"2012/11/28"</f>
        <v>2012/11/28</v>
      </c>
      <c r="J663" t="str">
        <f>"503"</f>
        <v>503</v>
      </c>
      <c r="K663" t="str">
        <f>"20230801"</f>
        <v>20230801</v>
      </c>
      <c r="L663" t="s">
        <v>18</v>
      </c>
      <c r="M663" t="str">
        <f>"20110131"</f>
        <v>20110131</v>
      </c>
    </row>
    <row r="664" spans="1:13" x14ac:dyDescent="0.25">
      <c r="A664" t="str">
        <f>"00184745"</f>
        <v>00184745</v>
      </c>
      <c r="B664" t="s">
        <v>1385</v>
      </c>
      <c r="C664" t="s">
        <v>1391</v>
      </c>
      <c r="D664" t="s">
        <v>53</v>
      </c>
      <c r="E664" t="s">
        <v>16</v>
      </c>
      <c r="F664" t="s">
        <v>17</v>
      </c>
      <c r="G664" t="str">
        <f>"02"</f>
        <v>02</v>
      </c>
      <c r="H664" t="str">
        <f>"7  "</f>
        <v xml:space="preserve">7  </v>
      </c>
      <c r="I664" t="str">
        <f>"1983/07/14"</f>
        <v>1983/07/14</v>
      </c>
      <c r="J664" t="str">
        <f>"510"</f>
        <v>510</v>
      </c>
      <c r="K664" t="s">
        <v>18</v>
      </c>
      <c r="L664" t="str">
        <f>"20230809"</f>
        <v>20230809</v>
      </c>
      <c r="M664" t="str">
        <f>"19820213"</f>
        <v>19820213</v>
      </c>
    </row>
    <row r="665" spans="1:13" x14ac:dyDescent="0.25">
      <c r="A665" t="str">
        <f>"00674482"</f>
        <v>00674482</v>
      </c>
      <c r="B665" t="s">
        <v>1392</v>
      </c>
      <c r="C665" t="s">
        <v>465</v>
      </c>
      <c r="D665" t="s">
        <v>51</v>
      </c>
      <c r="E665" t="s">
        <v>26</v>
      </c>
      <c r="F665" t="s">
        <v>17</v>
      </c>
      <c r="G665" t="str">
        <f>"02"</f>
        <v>02</v>
      </c>
      <c r="H665" t="str">
        <f>"3  "</f>
        <v xml:space="preserve">3  </v>
      </c>
      <c r="I665" t="str">
        <f>"2014/10/21"</f>
        <v>2014/10/21</v>
      </c>
      <c r="J665" t="str">
        <f>"510"</f>
        <v>510</v>
      </c>
      <c r="K665" t="str">
        <f>"20280316"</f>
        <v>20280316</v>
      </c>
      <c r="L665" t="s">
        <v>18</v>
      </c>
      <c r="M665" t="str">
        <f>"20131007"</f>
        <v>20131007</v>
      </c>
    </row>
    <row r="666" spans="1:13" x14ac:dyDescent="0.25">
      <c r="A666" t="str">
        <f>"00224284"</f>
        <v>00224284</v>
      </c>
      <c r="B666" t="s">
        <v>1393</v>
      </c>
      <c r="C666" t="s">
        <v>578</v>
      </c>
      <c r="D666" t="s">
        <v>53</v>
      </c>
      <c r="E666" t="s">
        <v>26</v>
      </c>
      <c r="F666" t="s">
        <v>17</v>
      </c>
      <c r="G666" t="str">
        <f>"02"</f>
        <v>02</v>
      </c>
      <c r="H666" t="str">
        <f>"7  "</f>
        <v xml:space="preserve">7  </v>
      </c>
      <c r="I666" t="str">
        <f>"1998/06/03"</f>
        <v>1998/06/03</v>
      </c>
      <c r="J666" t="str">
        <f>"510"</f>
        <v>510</v>
      </c>
      <c r="K666" t="s">
        <v>18</v>
      </c>
      <c r="L666" t="s">
        <v>18</v>
      </c>
      <c r="M666" t="str">
        <f>"19961002"</f>
        <v>19961002</v>
      </c>
    </row>
    <row r="667" spans="1:13" x14ac:dyDescent="0.25">
      <c r="A667" t="str">
        <f>"00253223"</f>
        <v>00253223</v>
      </c>
      <c r="B667" t="s">
        <v>1393</v>
      </c>
      <c r="C667" t="s">
        <v>402</v>
      </c>
      <c r="D667" t="s">
        <v>45</v>
      </c>
      <c r="E667" t="s">
        <v>26</v>
      </c>
      <c r="F667" t="s">
        <v>17</v>
      </c>
      <c r="G667" t="str">
        <f>"02"</f>
        <v>02</v>
      </c>
      <c r="H667" t="str">
        <f>"3  "</f>
        <v xml:space="preserve">3  </v>
      </c>
      <c r="I667" t="str">
        <f>"2020/07/21"</f>
        <v>2020/07/21</v>
      </c>
      <c r="J667" t="str">
        <f>"533"</f>
        <v>533</v>
      </c>
      <c r="K667" t="str">
        <f>"20300814"</f>
        <v>20300814</v>
      </c>
      <c r="L667" t="s">
        <v>18</v>
      </c>
      <c r="M667" t="str">
        <f>"20170207"</f>
        <v>20170207</v>
      </c>
    </row>
    <row r="668" spans="1:13" x14ac:dyDescent="0.25">
      <c r="A668" t="str">
        <f>"00399640"</f>
        <v>00399640</v>
      </c>
      <c r="B668" t="s">
        <v>1398</v>
      </c>
      <c r="C668" t="s">
        <v>120</v>
      </c>
      <c r="D668" t="s">
        <v>80</v>
      </c>
      <c r="E668" t="s">
        <v>16</v>
      </c>
      <c r="F668" t="s">
        <v>17</v>
      </c>
      <c r="G668" t="str">
        <f>"02"</f>
        <v>02</v>
      </c>
      <c r="H668" t="str">
        <f>"7  "</f>
        <v xml:space="preserve">7  </v>
      </c>
      <c r="I668" t="str">
        <f>"2016/08/25"</f>
        <v>2016/08/25</v>
      </c>
      <c r="J668" t="str">
        <f>"110"</f>
        <v>110</v>
      </c>
      <c r="K668" t="s">
        <v>18</v>
      </c>
      <c r="L668" t="s">
        <v>18</v>
      </c>
      <c r="M668" t="str">
        <f>"20150907"</f>
        <v>20150907</v>
      </c>
    </row>
    <row r="669" spans="1:13" x14ac:dyDescent="0.25">
      <c r="A669" t="str">
        <f>"00652442"</f>
        <v>00652442</v>
      </c>
      <c r="B669" t="s">
        <v>1398</v>
      </c>
      <c r="C669" t="s">
        <v>1399</v>
      </c>
      <c r="D669" t="s">
        <v>45</v>
      </c>
      <c r="E669" t="s">
        <v>16</v>
      </c>
      <c r="F669" t="s">
        <v>17</v>
      </c>
      <c r="G669" t="str">
        <f>"02"</f>
        <v>02</v>
      </c>
      <c r="H669" t="str">
        <f>"3  "</f>
        <v xml:space="preserve">3  </v>
      </c>
      <c r="I669" t="str">
        <f>"2014/08/11"</f>
        <v>2014/08/11</v>
      </c>
      <c r="J669" t="str">
        <f>"510"</f>
        <v>510</v>
      </c>
      <c r="K669" t="str">
        <f>"20320418"</f>
        <v>20320418</v>
      </c>
      <c r="L669" t="s">
        <v>18</v>
      </c>
      <c r="M669" t="str">
        <f>"20091001"</f>
        <v>20091001</v>
      </c>
    </row>
    <row r="670" spans="1:13" x14ac:dyDescent="0.25">
      <c r="A670" t="str">
        <f>"00123802"</f>
        <v>00123802</v>
      </c>
      <c r="B670" t="s">
        <v>1400</v>
      </c>
      <c r="C670" t="s">
        <v>169</v>
      </c>
      <c r="D670" t="s">
        <v>16</v>
      </c>
      <c r="E670" t="s">
        <v>16</v>
      </c>
      <c r="F670" t="s">
        <v>17</v>
      </c>
      <c r="G670" t="str">
        <f>"02"</f>
        <v>02</v>
      </c>
      <c r="H670" t="str">
        <f>"7  "</f>
        <v xml:space="preserve">7  </v>
      </c>
      <c r="I670" t="str">
        <f>"2019/10/25"</f>
        <v>2019/10/25</v>
      </c>
      <c r="J670" t="str">
        <f>"510"</f>
        <v>510</v>
      </c>
      <c r="K670" t="s">
        <v>18</v>
      </c>
      <c r="L670" t="str">
        <f>"20211020"</f>
        <v>20211020</v>
      </c>
      <c r="M670" t="str">
        <f>"20191008"</f>
        <v>20191008</v>
      </c>
    </row>
    <row r="671" spans="1:13" x14ac:dyDescent="0.25">
      <c r="A671" t="str">
        <f>"00436964"</f>
        <v>00436964</v>
      </c>
      <c r="B671" t="s">
        <v>1401</v>
      </c>
      <c r="C671" t="s">
        <v>150</v>
      </c>
      <c r="D671" t="s">
        <v>15</v>
      </c>
      <c r="E671" t="s">
        <v>26</v>
      </c>
      <c r="F671" t="s">
        <v>17</v>
      </c>
      <c r="G671" t="str">
        <f>"02"</f>
        <v>02</v>
      </c>
      <c r="H671" t="str">
        <f>"3  "</f>
        <v xml:space="preserve">3  </v>
      </c>
      <c r="I671" t="str">
        <f>"2006/03/24"</f>
        <v>2006/03/24</v>
      </c>
      <c r="J671" t="str">
        <f>"110"</f>
        <v>110</v>
      </c>
      <c r="K671" t="str">
        <f>"20231001"</f>
        <v>20231001</v>
      </c>
      <c r="L671" t="s">
        <v>18</v>
      </c>
      <c r="M671" t="str">
        <f>"20050920"</f>
        <v>20050920</v>
      </c>
    </row>
    <row r="672" spans="1:13" x14ac:dyDescent="0.25">
      <c r="A672" t="str">
        <f>"00438197"</f>
        <v>00438197</v>
      </c>
      <c r="B672" t="s">
        <v>1402</v>
      </c>
      <c r="C672" t="s">
        <v>677</v>
      </c>
      <c r="D672" t="s">
        <v>26</v>
      </c>
      <c r="E672" t="s">
        <v>26</v>
      </c>
      <c r="F672" t="s">
        <v>17</v>
      </c>
      <c r="G672" t="str">
        <f>"02"</f>
        <v>02</v>
      </c>
      <c r="H672" t="str">
        <f>"3  "</f>
        <v xml:space="preserve">3  </v>
      </c>
      <c r="I672" t="str">
        <f>"2020/03/06"</f>
        <v>2020/03/06</v>
      </c>
      <c r="J672" t="str">
        <f>"510"</f>
        <v>510</v>
      </c>
      <c r="K672" t="str">
        <f>"20350101"</f>
        <v>20350101</v>
      </c>
      <c r="L672" t="s">
        <v>18</v>
      </c>
      <c r="M672" t="str">
        <f>"20181115"</f>
        <v>20181115</v>
      </c>
    </row>
    <row r="673" spans="1:13" x14ac:dyDescent="0.25">
      <c r="A673" t="str">
        <f>"00137010"</f>
        <v>00137010</v>
      </c>
      <c r="B673" t="s">
        <v>1416</v>
      </c>
      <c r="C673" t="s">
        <v>709</v>
      </c>
      <c r="D673" t="s">
        <v>25</v>
      </c>
      <c r="E673" t="s">
        <v>26</v>
      </c>
      <c r="F673" t="s">
        <v>17</v>
      </c>
      <c r="G673" t="str">
        <f>"02"</f>
        <v>02</v>
      </c>
      <c r="H673" t="str">
        <f>"7  "</f>
        <v xml:space="preserve">7  </v>
      </c>
      <c r="I673" t="str">
        <f>"2004/12/02"</f>
        <v>2004/12/02</v>
      </c>
      <c r="J673" t="str">
        <f>"533"</f>
        <v>533</v>
      </c>
      <c r="K673" t="s">
        <v>18</v>
      </c>
      <c r="L673" t="s">
        <v>18</v>
      </c>
      <c r="M673" t="str">
        <f>"19751212"</f>
        <v>19751212</v>
      </c>
    </row>
    <row r="674" spans="1:13" x14ac:dyDescent="0.25">
      <c r="A674" t="str">
        <f>"00159983"</f>
        <v>00159983</v>
      </c>
      <c r="B674" t="s">
        <v>1419</v>
      </c>
      <c r="C674" t="s">
        <v>342</v>
      </c>
      <c r="D674" t="s">
        <v>53</v>
      </c>
      <c r="E674" t="s">
        <v>26</v>
      </c>
      <c r="F674" t="s">
        <v>17</v>
      </c>
      <c r="G674" t="str">
        <f>"02"</f>
        <v>02</v>
      </c>
      <c r="H674" t="str">
        <f>"7  "</f>
        <v xml:space="preserve">7  </v>
      </c>
      <c r="I674" t="str">
        <f>"1998/10/26"</f>
        <v>1998/10/26</v>
      </c>
      <c r="J674" t="str">
        <f>"532"</f>
        <v>532</v>
      </c>
      <c r="K674" t="s">
        <v>18</v>
      </c>
      <c r="L674" t="s">
        <v>18</v>
      </c>
      <c r="M674" t="str">
        <f>"19870825"</f>
        <v>19870825</v>
      </c>
    </row>
    <row r="675" spans="1:13" x14ac:dyDescent="0.25">
      <c r="A675" t="str">
        <f>"00240810"</f>
        <v>00240810</v>
      </c>
      <c r="B675" t="s">
        <v>1420</v>
      </c>
      <c r="C675" t="s">
        <v>320</v>
      </c>
      <c r="D675" t="s">
        <v>15</v>
      </c>
      <c r="E675" t="s">
        <v>16</v>
      </c>
      <c r="F675" t="s">
        <v>17</v>
      </c>
      <c r="G675" t="str">
        <f>"02"</f>
        <v>02</v>
      </c>
      <c r="H675" t="str">
        <f>"3  "</f>
        <v xml:space="preserve">3  </v>
      </c>
      <c r="I675" t="str">
        <f>"2020/03/20"</f>
        <v>2020/03/20</v>
      </c>
      <c r="J675" t="str">
        <f>"512"</f>
        <v>512</v>
      </c>
      <c r="K675" t="str">
        <f>"20350617"</f>
        <v>20350617</v>
      </c>
      <c r="L675" t="s">
        <v>18</v>
      </c>
      <c r="M675" t="str">
        <f>"20200304"</f>
        <v>20200304</v>
      </c>
    </row>
    <row r="676" spans="1:13" x14ac:dyDescent="0.25">
      <c r="A676" t="str">
        <f>"00226109"</f>
        <v>00226109</v>
      </c>
      <c r="B676" t="s">
        <v>1420</v>
      </c>
      <c r="C676" t="s">
        <v>74</v>
      </c>
      <c r="D676" t="s">
        <v>15</v>
      </c>
      <c r="E676" t="s">
        <v>16</v>
      </c>
      <c r="F676" t="s">
        <v>17</v>
      </c>
      <c r="G676" t="str">
        <f>"02"</f>
        <v>02</v>
      </c>
      <c r="H676" t="str">
        <f>"7  "</f>
        <v xml:space="preserve">7  </v>
      </c>
      <c r="I676" t="str">
        <f>"1989/09/15"</f>
        <v>1989/09/15</v>
      </c>
      <c r="J676" t="str">
        <f>"510"</f>
        <v>510</v>
      </c>
      <c r="K676" t="s">
        <v>18</v>
      </c>
      <c r="L676" t="s">
        <v>18</v>
      </c>
      <c r="M676" t="str">
        <f>"19881231"</f>
        <v>19881231</v>
      </c>
    </row>
    <row r="677" spans="1:13" x14ac:dyDescent="0.25">
      <c r="A677" t="str">
        <f>"00765739"</f>
        <v>00765739</v>
      </c>
      <c r="B677" t="s">
        <v>1424</v>
      </c>
      <c r="C677" t="s">
        <v>302</v>
      </c>
      <c r="D677" t="s">
        <v>97</v>
      </c>
      <c r="E677" t="s">
        <v>26</v>
      </c>
      <c r="F677" t="s">
        <v>17</v>
      </c>
      <c r="G677" t="str">
        <f>"02"</f>
        <v>02</v>
      </c>
      <c r="H677" t="str">
        <f>"3  "</f>
        <v xml:space="preserve">3  </v>
      </c>
      <c r="I677" t="str">
        <f>"2020/07/06"</f>
        <v>2020/07/06</v>
      </c>
      <c r="J677" t="str">
        <f>"503"</f>
        <v>503</v>
      </c>
      <c r="K677" t="str">
        <f>"20380427"</f>
        <v>20380427</v>
      </c>
      <c r="L677" t="s">
        <v>18</v>
      </c>
      <c r="M677" t="str">
        <f>"20140408"</f>
        <v>20140408</v>
      </c>
    </row>
    <row r="678" spans="1:13" x14ac:dyDescent="0.25">
      <c r="A678" t="str">
        <f>"00196827"</f>
        <v>00196827</v>
      </c>
      <c r="B678" t="s">
        <v>1425</v>
      </c>
      <c r="C678" t="s">
        <v>59</v>
      </c>
      <c r="D678" t="s">
        <v>45</v>
      </c>
      <c r="E678" t="s">
        <v>16</v>
      </c>
      <c r="F678" t="s">
        <v>17</v>
      </c>
      <c r="G678" t="str">
        <f>"02"</f>
        <v>02</v>
      </c>
      <c r="H678" t="str">
        <f>"1  "</f>
        <v xml:space="preserve">1  </v>
      </c>
      <c r="I678" t="str">
        <f>"2020/07/08"</f>
        <v>2020/07/08</v>
      </c>
      <c r="J678" t="str">
        <f>"503"</f>
        <v>503</v>
      </c>
      <c r="K678" t="str">
        <f>"20210105"</f>
        <v>20210105</v>
      </c>
      <c r="L678" t="s">
        <v>18</v>
      </c>
      <c r="M678" t="str">
        <f>"20200106"</f>
        <v>20200106</v>
      </c>
    </row>
    <row r="679" spans="1:13" x14ac:dyDescent="0.25">
      <c r="A679" t="str">
        <f>"00196663"</f>
        <v>00196663</v>
      </c>
      <c r="B679" t="s">
        <v>1429</v>
      </c>
      <c r="C679" t="s">
        <v>96</v>
      </c>
      <c r="D679" t="s">
        <v>80</v>
      </c>
      <c r="E679" t="s">
        <v>26</v>
      </c>
      <c r="F679" t="s">
        <v>17</v>
      </c>
      <c r="G679" t="str">
        <f>"02"</f>
        <v>02</v>
      </c>
      <c r="H679" t="str">
        <f>"7  "</f>
        <v xml:space="preserve">7  </v>
      </c>
      <c r="I679" t="str">
        <f>"2003/06/16"</f>
        <v>2003/06/16</v>
      </c>
      <c r="J679" t="str">
        <f>"531"</f>
        <v>531</v>
      </c>
      <c r="K679" t="s">
        <v>18</v>
      </c>
      <c r="L679" t="str">
        <f>"20190611"</f>
        <v>20190611</v>
      </c>
      <c r="M679" t="str">
        <f>"19840720"</f>
        <v>19840720</v>
      </c>
    </row>
    <row r="680" spans="1:13" x14ac:dyDescent="0.25">
      <c r="A680" t="str">
        <f>"00269766"</f>
        <v>00269766</v>
      </c>
      <c r="B680" t="s">
        <v>1433</v>
      </c>
      <c r="C680" t="s">
        <v>66</v>
      </c>
      <c r="D680" t="s">
        <v>15</v>
      </c>
      <c r="E680" t="s">
        <v>16</v>
      </c>
      <c r="F680" t="s">
        <v>17</v>
      </c>
      <c r="G680" t="str">
        <f>"02"</f>
        <v>02</v>
      </c>
      <c r="H680" t="str">
        <f>"3  "</f>
        <v xml:space="preserve">3  </v>
      </c>
      <c r="I680" t="str">
        <f>"2019/06/21"</f>
        <v>2019/06/21</v>
      </c>
      <c r="J680" t="str">
        <f>"510"</f>
        <v>510</v>
      </c>
      <c r="K680" t="str">
        <f>"20241006"</f>
        <v>20241006</v>
      </c>
      <c r="L680" t="s">
        <v>18</v>
      </c>
      <c r="M680" t="str">
        <f>"20170806"</f>
        <v>20170806</v>
      </c>
    </row>
    <row r="681" spans="1:13" x14ac:dyDescent="0.25">
      <c r="A681" t="str">
        <f>"00175203"</f>
        <v>00175203</v>
      </c>
      <c r="B681" t="s">
        <v>1434</v>
      </c>
      <c r="C681" t="s">
        <v>1435</v>
      </c>
      <c r="D681" t="s">
        <v>179</v>
      </c>
      <c r="E681" t="s">
        <v>26</v>
      </c>
      <c r="F681" t="s">
        <v>17</v>
      </c>
      <c r="G681" t="str">
        <f>"02"</f>
        <v>02</v>
      </c>
      <c r="H681" t="str">
        <f>"7  "</f>
        <v xml:space="preserve">7  </v>
      </c>
      <c r="I681" t="str">
        <f>"2001/01/17"</f>
        <v>2001/01/17</v>
      </c>
      <c r="J681" t="str">
        <f>"533"</f>
        <v>533</v>
      </c>
      <c r="K681" t="s">
        <v>18</v>
      </c>
      <c r="L681" t="str">
        <f>"20170630"</f>
        <v>20170630</v>
      </c>
      <c r="M681" t="str">
        <f>"19821002"</f>
        <v>19821002</v>
      </c>
    </row>
    <row r="682" spans="1:13" x14ac:dyDescent="0.25">
      <c r="A682" t="str">
        <f>"00888246"</f>
        <v>00888246</v>
      </c>
      <c r="B682" t="s">
        <v>1434</v>
      </c>
      <c r="C682" t="s">
        <v>58</v>
      </c>
      <c r="D682" t="s">
        <v>25</v>
      </c>
      <c r="E682" t="s">
        <v>26</v>
      </c>
      <c r="F682" t="s">
        <v>17</v>
      </c>
      <c r="G682" t="str">
        <f>"02"</f>
        <v>02</v>
      </c>
      <c r="H682" t="str">
        <f>"7  "</f>
        <v xml:space="preserve">7  </v>
      </c>
      <c r="I682" t="str">
        <f>"2018/08/21"</f>
        <v>2018/08/21</v>
      </c>
      <c r="J682" t="str">
        <f>"110"</f>
        <v>110</v>
      </c>
      <c r="K682" t="s">
        <v>18</v>
      </c>
      <c r="L682" t="s">
        <v>18</v>
      </c>
      <c r="M682" t="str">
        <f>"20031227"</f>
        <v>20031227</v>
      </c>
    </row>
    <row r="683" spans="1:13" x14ac:dyDescent="0.25">
      <c r="A683" t="str">
        <f>"00527338"</f>
        <v>00527338</v>
      </c>
      <c r="B683" t="s">
        <v>1438</v>
      </c>
      <c r="C683" t="s">
        <v>1439</v>
      </c>
      <c r="D683" t="s">
        <v>37</v>
      </c>
      <c r="E683" t="s">
        <v>26</v>
      </c>
      <c r="F683" t="s">
        <v>17</v>
      </c>
      <c r="G683" t="str">
        <f>"02"</f>
        <v>02</v>
      </c>
      <c r="H683" t="str">
        <f>"7  "</f>
        <v xml:space="preserve">7  </v>
      </c>
      <c r="I683" t="str">
        <f>"2006/09/12"</f>
        <v>2006/09/12</v>
      </c>
      <c r="J683" t="str">
        <f>"510"</f>
        <v>510</v>
      </c>
      <c r="K683" t="s">
        <v>18</v>
      </c>
      <c r="L683" t="s">
        <v>18</v>
      </c>
      <c r="M683" t="str">
        <f>"20040710"</f>
        <v>20040710</v>
      </c>
    </row>
    <row r="684" spans="1:13" x14ac:dyDescent="0.25">
      <c r="A684" t="str">
        <f>"00209577"</f>
        <v>00209577</v>
      </c>
      <c r="B684" t="s">
        <v>1438</v>
      </c>
      <c r="C684" t="s">
        <v>313</v>
      </c>
      <c r="D684" t="s">
        <v>16</v>
      </c>
      <c r="E684" t="s">
        <v>26</v>
      </c>
      <c r="F684" t="s">
        <v>17</v>
      </c>
      <c r="G684" t="str">
        <f>"02"</f>
        <v>02</v>
      </c>
      <c r="H684" t="str">
        <f>"3  "</f>
        <v xml:space="preserve">3  </v>
      </c>
      <c r="I684" t="str">
        <f>"2020/08/05"</f>
        <v>2020/08/05</v>
      </c>
      <c r="J684" t="str">
        <f>"533"</f>
        <v>533</v>
      </c>
      <c r="K684" t="str">
        <f>"20570107"</f>
        <v>20570107</v>
      </c>
      <c r="L684" t="s">
        <v>18</v>
      </c>
      <c r="M684" t="str">
        <f>"20030713"</f>
        <v>20030713</v>
      </c>
    </row>
    <row r="685" spans="1:13" x14ac:dyDescent="0.25">
      <c r="A685" t="str">
        <f>"00438173"</f>
        <v>00438173</v>
      </c>
      <c r="B685" t="s">
        <v>1438</v>
      </c>
      <c r="C685" t="s">
        <v>74</v>
      </c>
      <c r="D685" t="s">
        <v>25</v>
      </c>
      <c r="E685" t="s">
        <v>26</v>
      </c>
      <c r="F685" t="s">
        <v>17</v>
      </c>
      <c r="G685" t="str">
        <f>"02"</f>
        <v>02</v>
      </c>
      <c r="H685" t="str">
        <f>"3  "</f>
        <v xml:space="preserve">3  </v>
      </c>
      <c r="I685" t="str">
        <f>"2020/09/16"</f>
        <v>2020/09/16</v>
      </c>
      <c r="J685" t="str">
        <f>"533"</f>
        <v>533</v>
      </c>
      <c r="K685" t="str">
        <f>"20300410"</f>
        <v>20300410</v>
      </c>
      <c r="L685" t="s">
        <v>18</v>
      </c>
      <c r="M685" t="str">
        <f>"20110825"</f>
        <v>20110825</v>
      </c>
    </row>
    <row r="686" spans="1:13" x14ac:dyDescent="0.25">
      <c r="A686" t="str">
        <f>"00507182"</f>
        <v>00507182</v>
      </c>
      <c r="B686" t="s">
        <v>1445</v>
      </c>
      <c r="C686" t="s">
        <v>308</v>
      </c>
      <c r="D686" t="s">
        <v>40</v>
      </c>
      <c r="E686" t="s">
        <v>16</v>
      </c>
      <c r="F686" t="s">
        <v>17</v>
      </c>
      <c r="G686" t="str">
        <f>"02"</f>
        <v>02</v>
      </c>
      <c r="H686" t="str">
        <f>"3  "</f>
        <v xml:space="preserve">3  </v>
      </c>
      <c r="I686" t="str">
        <f>"2020/07/21"</f>
        <v>2020/07/21</v>
      </c>
      <c r="J686" t="str">
        <f>"533"</f>
        <v>533</v>
      </c>
      <c r="K686" t="str">
        <f>"20420219"</f>
        <v>20420219</v>
      </c>
      <c r="L686" t="s">
        <v>18</v>
      </c>
      <c r="M686" t="str">
        <f>"20121219"</f>
        <v>20121219</v>
      </c>
    </row>
    <row r="687" spans="1:13" x14ac:dyDescent="0.25">
      <c r="A687" t="str">
        <f>"00604490"</f>
        <v>00604490</v>
      </c>
      <c r="B687" t="s">
        <v>1446</v>
      </c>
      <c r="C687" t="s">
        <v>595</v>
      </c>
      <c r="D687" t="s">
        <v>16</v>
      </c>
      <c r="E687" t="s">
        <v>26</v>
      </c>
      <c r="F687" t="s">
        <v>17</v>
      </c>
      <c r="G687" t="str">
        <f>"02"</f>
        <v>02</v>
      </c>
      <c r="H687" t="str">
        <f>"3  "</f>
        <v xml:space="preserve">3  </v>
      </c>
      <c r="I687" t="str">
        <f>"2016/08/25"</f>
        <v>2016/08/25</v>
      </c>
      <c r="J687" t="str">
        <f>"510"</f>
        <v>510</v>
      </c>
      <c r="K687" t="str">
        <f>"20351230"</f>
        <v>20351230</v>
      </c>
      <c r="L687" t="s">
        <v>18</v>
      </c>
      <c r="M687" t="str">
        <f>"20130810"</f>
        <v>20130810</v>
      </c>
    </row>
    <row r="688" spans="1:13" x14ac:dyDescent="0.25">
      <c r="A688" t="str">
        <f>"00183868"</f>
        <v>00183868</v>
      </c>
      <c r="B688" t="s">
        <v>1446</v>
      </c>
      <c r="C688" t="s">
        <v>714</v>
      </c>
      <c r="D688" t="s">
        <v>16</v>
      </c>
      <c r="E688" t="s">
        <v>26</v>
      </c>
      <c r="F688" t="s">
        <v>17</v>
      </c>
      <c r="G688" t="str">
        <f>"02"</f>
        <v>02</v>
      </c>
      <c r="H688" t="str">
        <f>"3  "</f>
        <v xml:space="preserve">3  </v>
      </c>
      <c r="I688" t="str">
        <f>"2019/09/27"</f>
        <v>2019/09/27</v>
      </c>
      <c r="J688" t="str">
        <f>"510"</f>
        <v>510</v>
      </c>
      <c r="K688" t="str">
        <f>"21211029"</f>
        <v>21211029</v>
      </c>
      <c r="L688" t="s">
        <v>18</v>
      </c>
      <c r="M688" t="str">
        <f>"20180222"</f>
        <v>20180222</v>
      </c>
    </row>
    <row r="689" spans="1:13" x14ac:dyDescent="0.25">
      <c r="A689" t="str">
        <f>"00587424"</f>
        <v>00587424</v>
      </c>
      <c r="B689" t="s">
        <v>1447</v>
      </c>
      <c r="C689" t="s">
        <v>1448</v>
      </c>
      <c r="D689" t="s">
        <v>45</v>
      </c>
      <c r="E689" t="s">
        <v>26</v>
      </c>
      <c r="F689" t="s">
        <v>17</v>
      </c>
      <c r="G689" t="str">
        <f>"02"</f>
        <v>02</v>
      </c>
      <c r="H689" t="str">
        <f>"3  "</f>
        <v xml:space="preserve">3  </v>
      </c>
      <c r="I689" t="str">
        <f>"2017/06/20"</f>
        <v>2017/06/20</v>
      </c>
      <c r="J689" t="str">
        <f>"110"</f>
        <v>110</v>
      </c>
      <c r="K689" t="str">
        <f>"20230325"</f>
        <v>20230325</v>
      </c>
      <c r="L689" t="s">
        <v>18</v>
      </c>
      <c r="M689" t="str">
        <f>"20170115"</f>
        <v>20170115</v>
      </c>
    </row>
    <row r="690" spans="1:13" x14ac:dyDescent="0.25">
      <c r="A690" t="str">
        <f>"00145789"</f>
        <v>00145789</v>
      </c>
      <c r="B690" t="s">
        <v>1447</v>
      </c>
      <c r="C690" t="s">
        <v>96</v>
      </c>
      <c r="D690" t="s">
        <v>80</v>
      </c>
      <c r="E690" t="s">
        <v>16</v>
      </c>
      <c r="F690" t="s">
        <v>17</v>
      </c>
      <c r="G690" t="str">
        <f>"02"</f>
        <v>02</v>
      </c>
      <c r="H690" t="str">
        <f>"3  "</f>
        <v xml:space="preserve">3  </v>
      </c>
      <c r="I690" t="str">
        <f>"2014/08/08"</f>
        <v>2014/08/08</v>
      </c>
      <c r="J690" t="str">
        <f>"503"</f>
        <v>503</v>
      </c>
      <c r="K690" t="str">
        <f>"20251226"</f>
        <v>20251226</v>
      </c>
      <c r="L690" t="str">
        <f>"20180103"</f>
        <v>20180103</v>
      </c>
      <c r="M690" t="str">
        <f>"20140314"</f>
        <v>20140314</v>
      </c>
    </row>
    <row r="691" spans="1:13" x14ac:dyDescent="0.25">
      <c r="A691" t="str">
        <f>"00576899"</f>
        <v>00576899</v>
      </c>
      <c r="B691" t="s">
        <v>1447</v>
      </c>
      <c r="C691" t="s">
        <v>96</v>
      </c>
      <c r="D691" t="s">
        <v>80</v>
      </c>
      <c r="E691" t="s">
        <v>16</v>
      </c>
      <c r="F691" t="s">
        <v>17</v>
      </c>
      <c r="G691" t="str">
        <f>"02"</f>
        <v>02</v>
      </c>
      <c r="H691" t="str">
        <f>"3  "</f>
        <v xml:space="preserve">3  </v>
      </c>
      <c r="I691" t="str">
        <f>"2019/05/03"</f>
        <v>2019/05/03</v>
      </c>
      <c r="J691" t="str">
        <f>"510"</f>
        <v>510</v>
      </c>
      <c r="K691" t="str">
        <f>"20240330"</f>
        <v>20240330</v>
      </c>
      <c r="L691" t="s">
        <v>18</v>
      </c>
      <c r="M691" t="str">
        <f>"20140824"</f>
        <v>20140824</v>
      </c>
    </row>
    <row r="692" spans="1:13" x14ac:dyDescent="0.25">
      <c r="A692" t="str">
        <f>"00761080"</f>
        <v>00761080</v>
      </c>
      <c r="B692" t="s">
        <v>1450</v>
      </c>
      <c r="C692" t="s">
        <v>397</v>
      </c>
      <c r="D692" t="s">
        <v>61</v>
      </c>
      <c r="E692" t="s">
        <v>15</v>
      </c>
      <c r="F692" t="s">
        <v>17</v>
      </c>
      <c r="G692" t="str">
        <f>"02"</f>
        <v>02</v>
      </c>
      <c r="H692" t="str">
        <f>"3  "</f>
        <v xml:space="preserve">3  </v>
      </c>
      <c r="I692" t="str">
        <f>"2018/07/16"</f>
        <v>2018/07/16</v>
      </c>
      <c r="J692" t="str">
        <f>"510"</f>
        <v>510</v>
      </c>
      <c r="K692" t="str">
        <f>"20290424"</f>
        <v>20290424</v>
      </c>
      <c r="L692" t="s">
        <v>18</v>
      </c>
      <c r="M692" t="str">
        <f>"20170220"</f>
        <v>20170220</v>
      </c>
    </row>
    <row r="693" spans="1:13" x14ac:dyDescent="0.25">
      <c r="A693" t="str">
        <f>"00619062"</f>
        <v>00619062</v>
      </c>
      <c r="B693" t="s">
        <v>1452</v>
      </c>
      <c r="C693" t="s">
        <v>232</v>
      </c>
      <c r="D693" t="s">
        <v>25</v>
      </c>
      <c r="E693" t="s">
        <v>26</v>
      </c>
      <c r="F693" t="s">
        <v>17</v>
      </c>
      <c r="G693" t="str">
        <f>"02"</f>
        <v>02</v>
      </c>
      <c r="H693" t="str">
        <f>"3  "</f>
        <v xml:space="preserve">3  </v>
      </c>
      <c r="I693" t="str">
        <f>"2019/01/31"</f>
        <v>2019/01/31</v>
      </c>
      <c r="J693" t="str">
        <f>"510"</f>
        <v>510</v>
      </c>
      <c r="K693" t="str">
        <f>"20330405"</f>
        <v>20330405</v>
      </c>
      <c r="L693" t="s">
        <v>18</v>
      </c>
      <c r="M693" t="str">
        <f>"20150326"</f>
        <v>20150326</v>
      </c>
    </row>
    <row r="694" spans="1:13" x14ac:dyDescent="0.25">
      <c r="A694" t="str">
        <f>"00246797"</f>
        <v>00246797</v>
      </c>
      <c r="B694" t="s">
        <v>1454</v>
      </c>
      <c r="C694" t="s">
        <v>48</v>
      </c>
      <c r="D694" t="s">
        <v>15</v>
      </c>
      <c r="E694" t="s">
        <v>26</v>
      </c>
      <c r="F694" t="s">
        <v>17</v>
      </c>
      <c r="G694" t="str">
        <f>"02"</f>
        <v>02</v>
      </c>
      <c r="H694" t="str">
        <f>"7  "</f>
        <v xml:space="preserve">7  </v>
      </c>
      <c r="I694" t="str">
        <f>"2000/01/19"</f>
        <v>2000/01/19</v>
      </c>
      <c r="J694" t="str">
        <f>"532"</f>
        <v>532</v>
      </c>
      <c r="K694" t="s">
        <v>18</v>
      </c>
      <c r="L694" t="s">
        <v>18</v>
      </c>
      <c r="M694" t="str">
        <f>"19980425"</f>
        <v>19980425</v>
      </c>
    </row>
    <row r="695" spans="1:13" x14ac:dyDescent="0.25">
      <c r="A695" t="str">
        <f>"00160097"</f>
        <v>00160097</v>
      </c>
      <c r="B695" t="s">
        <v>1456</v>
      </c>
      <c r="C695" t="s">
        <v>59</v>
      </c>
      <c r="D695" t="s">
        <v>51</v>
      </c>
      <c r="E695" t="s">
        <v>16</v>
      </c>
      <c r="F695" t="s">
        <v>17</v>
      </c>
      <c r="G695" t="str">
        <f>"02"</f>
        <v>02</v>
      </c>
      <c r="H695" t="str">
        <f>"3  "</f>
        <v xml:space="preserve">3  </v>
      </c>
      <c r="I695" t="str">
        <f>"2016/02/10"</f>
        <v>2016/02/10</v>
      </c>
      <c r="J695" t="str">
        <f>"110"</f>
        <v>110</v>
      </c>
      <c r="K695" t="str">
        <f>"20220126"</f>
        <v>20220126</v>
      </c>
      <c r="L695" t="s">
        <v>18</v>
      </c>
      <c r="M695" t="str">
        <f>"20150322"</f>
        <v>20150322</v>
      </c>
    </row>
    <row r="696" spans="1:13" x14ac:dyDescent="0.25">
      <c r="A696" t="str">
        <f>"00205286"</f>
        <v>00205286</v>
      </c>
      <c r="B696" t="s">
        <v>1464</v>
      </c>
      <c r="C696" t="s">
        <v>72</v>
      </c>
      <c r="D696" t="s">
        <v>21</v>
      </c>
      <c r="E696" t="s">
        <v>16</v>
      </c>
      <c r="F696" t="s">
        <v>17</v>
      </c>
      <c r="G696" t="str">
        <f>"02"</f>
        <v>02</v>
      </c>
      <c r="H696" t="str">
        <f>"3  "</f>
        <v xml:space="preserve">3  </v>
      </c>
      <c r="I696" t="str">
        <f>"1998/02/19"</f>
        <v>1998/02/19</v>
      </c>
      <c r="J696" t="str">
        <f>"502"</f>
        <v>502</v>
      </c>
      <c r="K696" t="str">
        <f>"20530107"</f>
        <v>20530107</v>
      </c>
      <c r="L696" t="s">
        <v>18</v>
      </c>
      <c r="M696" t="str">
        <f>"19970723"</f>
        <v>19970723</v>
      </c>
    </row>
    <row r="697" spans="1:13" x14ac:dyDescent="0.25">
      <c r="A697" t="str">
        <f>"00239662"</f>
        <v>00239662</v>
      </c>
      <c r="B697" t="s">
        <v>1465</v>
      </c>
      <c r="C697" t="s">
        <v>1466</v>
      </c>
      <c r="D697" t="s">
        <v>25</v>
      </c>
      <c r="E697" t="s">
        <v>16</v>
      </c>
      <c r="F697" t="s">
        <v>17</v>
      </c>
      <c r="G697" t="str">
        <f>"02"</f>
        <v>02</v>
      </c>
      <c r="H697" t="str">
        <f>"3  "</f>
        <v xml:space="preserve">3  </v>
      </c>
      <c r="I697" t="str">
        <f>"2015/07/29"</f>
        <v>2015/07/29</v>
      </c>
      <c r="J697" t="str">
        <f>"510"</f>
        <v>510</v>
      </c>
      <c r="K697" t="str">
        <f>"20291120"</f>
        <v>20291120</v>
      </c>
      <c r="L697" t="s">
        <v>18</v>
      </c>
      <c r="M697" t="str">
        <f>"20130613"</f>
        <v>20130613</v>
      </c>
    </row>
    <row r="698" spans="1:13" x14ac:dyDescent="0.25">
      <c r="A698" t="str">
        <f>"00779503"</f>
        <v>00779503</v>
      </c>
      <c r="B698" t="s">
        <v>1467</v>
      </c>
      <c r="C698" t="s">
        <v>1468</v>
      </c>
      <c r="D698" t="s">
        <v>25</v>
      </c>
      <c r="E698" t="s">
        <v>16</v>
      </c>
      <c r="F698" t="s">
        <v>17</v>
      </c>
      <c r="G698" t="str">
        <f>"02"</f>
        <v>02</v>
      </c>
      <c r="H698" t="str">
        <f>"3  "</f>
        <v xml:space="preserve">3  </v>
      </c>
      <c r="I698" t="str">
        <f>"2020/09/02"</f>
        <v>2020/09/02</v>
      </c>
      <c r="J698" t="str">
        <f>"533"</f>
        <v>533</v>
      </c>
      <c r="K698" t="str">
        <f>"20410809"</f>
        <v>20410809</v>
      </c>
      <c r="L698" t="s">
        <v>18</v>
      </c>
      <c r="M698" t="str">
        <f>"20141031"</f>
        <v>20141031</v>
      </c>
    </row>
    <row r="699" spans="1:13" x14ac:dyDescent="0.25">
      <c r="A699" t="str">
        <f>"00556748"</f>
        <v>00556748</v>
      </c>
      <c r="B699" t="s">
        <v>1469</v>
      </c>
      <c r="C699" t="s">
        <v>1470</v>
      </c>
      <c r="D699" t="s">
        <v>25</v>
      </c>
      <c r="E699" t="s">
        <v>26</v>
      </c>
      <c r="F699" t="s">
        <v>17</v>
      </c>
      <c r="G699" t="str">
        <f>"02"</f>
        <v>02</v>
      </c>
      <c r="H699" t="str">
        <f>"3  "</f>
        <v xml:space="preserve">3  </v>
      </c>
      <c r="I699" t="str">
        <f>"2017/09/29"</f>
        <v>2017/09/29</v>
      </c>
      <c r="J699" t="str">
        <f>"503"</f>
        <v>503</v>
      </c>
      <c r="K699" t="str">
        <f>"20340723"</f>
        <v>20340723</v>
      </c>
      <c r="L699" t="s">
        <v>18</v>
      </c>
      <c r="M699" t="str">
        <f>"20160706"</f>
        <v>20160706</v>
      </c>
    </row>
    <row r="700" spans="1:13" x14ac:dyDescent="0.25">
      <c r="A700" t="str">
        <f>"00303627"</f>
        <v>00303627</v>
      </c>
      <c r="B700" t="s">
        <v>1473</v>
      </c>
      <c r="C700" t="s">
        <v>1474</v>
      </c>
      <c r="D700" t="s">
        <v>45</v>
      </c>
      <c r="E700" t="s">
        <v>26</v>
      </c>
      <c r="F700" t="s">
        <v>17</v>
      </c>
      <c r="G700" t="str">
        <f>"02"</f>
        <v>02</v>
      </c>
      <c r="H700" t="str">
        <f>"7  "</f>
        <v xml:space="preserve">7  </v>
      </c>
      <c r="I700" t="str">
        <f>"2016/10/21"</f>
        <v>2016/10/21</v>
      </c>
      <c r="J700" t="str">
        <f>"130"</f>
        <v>130</v>
      </c>
      <c r="K700" t="s">
        <v>18</v>
      </c>
      <c r="L700" t="s">
        <v>18</v>
      </c>
      <c r="M700" t="str">
        <f>"20020806"</f>
        <v>20020806</v>
      </c>
    </row>
    <row r="701" spans="1:13" x14ac:dyDescent="0.25">
      <c r="A701" t="str">
        <f>"00611515"</f>
        <v>00611515</v>
      </c>
      <c r="B701" t="s">
        <v>1473</v>
      </c>
      <c r="C701" t="s">
        <v>1477</v>
      </c>
      <c r="D701" t="s">
        <v>15</v>
      </c>
      <c r="E701" t="s">
        <v>26</v>
      </c>
      <c r="F701" t="s">
        <v>17</v>
      </c>
      <c r="G701" t="str">
        <f>"02"</f>
        <v>02</v>
      </c>
      <c r="H701" t="str">
        <f>"3  "</f>
        <v xml:space="preserve">3  </v>
      </c>
      <c r="I701" t="str">
        <f>"2018/09/12"</f>
        <v>2018/09/12</v>
      </c>
      <c r="J701" t="str">
        <f>"510"</f>
        <v>510</v>
      </c>
      <c r="K701" t="str">
        <f>"20220331"</f>
        <v>20220331</v>
      </c>
      <c r="L701" t="s">
        <v>18</v>
      </c>
      <c r="M701" t="str">
        <f>"20170609"</f>
        <v>20170609</v>
      </c>
    </row>
    <row r="702" spans="1:13" x14ac:dyDescent="0.25">
      <c r="A702" t="str">
        <f>"00139284"</f>
        <v>00139284</v>
      </c>
      <c r="B702" t="s">
        <v>1490</v>
      </c>
      <c r="C702" t="s">
        <v>1491</v>
      </c>
      <c r="D702" t="s">
        <v>51</v>
      </c>
      <c r="E702" t="s">
        <v>26</v>
      </c>
      <c r="F702" t="s">
        <v>17</v>
      </c>
      <c r="G702" t="str">
        <f>"02"</f>
        <v>02</v>
      </c>
      <c r="H702" t="str">
        <f>"3  "</f>
        <v xml:space="preserve">3  </v>
      </c>
      <c r="I702" t="str">
        <f>"2019/03/22"</f>
        <v>2019/03/22</v>
      </c>
      <c r="J702" t="str">
        <f>"510"</f>
        <v>510</v>
      </c>
      <c r="K702" t="str">
        <f>"20250420"</f>
        <v>20250420</v>
      </c>
      <c r="L702" t="str">
        <f>"20200819"</f>
        <v>20200819</v>
      </c>
      <c r="M702" t="str">
        <f>"20170911"</f>
        <v>20170911</v>
      </c>
    </row>
    <row r="703" spans="1:13" x14ac:dyDescent="0.25">
      <c r="A703" t="str">
        <f>"00392677"</f>
        <v>00392677</v>
      </c>
      <c r="B703" t="s">
        <v>1494</v>
      </c>
      <c r="C703" t="s">
        <v>492</v>
      </c>
      <c r="D703" t="s">
        <v>61</v>
      </c>
      <c r="E703" t="s">
        <v>26</v>
      </c>
      <c r="F703" t="s">
        <v>17</v>
      </c>
      <c r="G703" t="str">
        <f>"02"</f>
        <v>02</v>
      </c>
      <c r="H703" t="str">
        <f>"3  "</f>
        <v xml:space="preserve">3  </v>
      </c>
      <c r="I703" t="str">
        <f>"2008/09/25"</f>
        <v>2008/09/25</v>
      </c>
      <c r="J703" t="str">
        <f>"110"</f>
        <v>110</v>
      </c>
      <c r="K703" t="str">
        <f>"20290515"</f>
        <v>20290515</v>
      </c>
      <c r="L703" t="s">
        <v>18</v>
      </c>
      <c r="M703" t="str">
        <f>"20071002"</f>
        <v>20071002</v>
      </c>
    </row>
    <row r="704" spans="1:13" x14ac:dyDescent="0.25">
      <c r="A704" t="str">
        <f>"00130802"</f>
        <v>00130802</v>
      </c>
      <c r="B704" t="s">
        <v>1495</v>
      </c>
      <c r="C704" t="s">
        <v>484</v>
      </c>
      <c r="D704" t="s">
        <v>37</v>
      </c>
      <c r="E704" t="s">
        <v>16</v>
      </c>
      <c r="F704" t="s">
        <v>17</v>
      </c>
      <c r="G704" t="str">
        <f>"02"</f>
        <v>02</v>
      </c>
      <c r="H704" t="str">
        <f>"7  "</f>
        <v xml:space="preserve">7  </v>
      </c>
      <c r="I704" t="str">
        <f>"1998/01/14"</f>
        <v>1998/01/14</v>
      </c>
      <c r="J704" t="str">
        <f>"532"</f>
        <v>532</v>
      </c>
      <c r="K704" t="s">
        <v>18</v>
      </c>
      <c r="L704" t="s">
        <v>18</v>
      </c>
      <c r="M704" t="str">
        <f>"19750410"</f>
        <v>19750410</v>
      </c>
    </row>
    <row r="705" spans="1:13" x14ac:dyDescent="0.25">
      <c r="A705" t="str">
        <f>"00231684"</f>
        <v>00231684</v>
      </c>
      <c r="B705" t="s">
        <v>1496</v>
      </c>
      <c r="C705" t="s">
        <v>526</v>
      </c>
      <c r="D705" t="s">
        <v>40</v>
      </c>
      <c r="E705" t="s">
        <v>16</v>
      </c>
      <c r="F705" t="s">
        <v>17</v>
      </c>
      <c r="G705" t="str">
        <f>"02"</f>
        <v>02</v>
      </c>
      <c r="H705" t="str">
        <f>"3  "</f>
        <v xml:space="preserve">3  </v>
      </c>
      <c r="I705" t="str">
        <f>"2019/05/17"</f>
        <v>2019/05/17</v>
      </c>
      <c r="J705" t="str">
        <f>"510"</f>
        <v>510</v>
      </c>
      <c r="K705" t="str">
        <f>"20280723"</f>
        <v>20280723</v>
      </c>
      <c r="L705" t="s">
        <v>18</v>
      </c>
      <c r="M705" t="str">
        <f>"20171027"</f>
        <v>20171027</v>
      </c>
    </row>
    <row r="706" spans="1:13" x14ac:dyDescent="0.25">
      <c r="A706" t="str">
        <f>"00401151"</f>
        <v>00401151</v>
      </c>
      <c r="B706" t="s">
        <v>1499</v>
      </c>
      <c r="C706" t="s">
        <v>136</v>
      </c>
      <c r="D706" t="s">
        <v>21</v>
      </c>
      <c r="E706" t="s">
        <v>26</v>
      </c>
      <c r="F706" t="s">
        <v>17</v>
      </c>
      <c r="G706" t="str">
        <f>"02"</f>
        <v>02</v>
      </c>
      <c r="H706" t="str">
        <f>"3  "</f>
        <v xml:space="preserve">3  </v>
      </c>
      <c r="I706" t="str">
        <f>"2011/08/09"</f>
        <v>2011/08/09</v>
      </c>
      <c r="J706" t="str">
        <f>"503"</f>
        <v>503</v>
      </c>
      <c r="K706" t="str">
        <f>"20730613"</f>
        <v>20730613</v>
      </c>
      <c r="L706" t="s">
        <v>18</v>
      </c>
      <c r="M706" t="str">
        <f>"20100713"</f>
        <v>20100713</v>
      </c>
    </row>
    <row r="707" spans="1:13" x14ac:dyDescent="0.25">
      <c r="A707" t="str">
        <f>"00612931"</f>
        <v>00612931</v>
      </c>
      <c r="B707" t="s">
        <v>1504</v>
      </c>
      <c r="C707" t="s">
        <v>74</v>
      </c>
      <c r="D707" t="s">
        <v>15</v>
      </c>
      <c r="E707" t="s">
        <v>16</v>
      </c>
      <c r="F707" t="s">
        <v>17</v>
      </c>
      <c r="G707" t="str">
        <f>"02"</f>
        <v>02</v>
      </c>
      <c r="H707" t="str">
        <f>"3  "</f>
        <v xml:space="preserve">3  </v>
      </c>
      <c r="I707" t="str">
        <f>"2013/08/01"</f>
        <v>2013/08/01</v>
      </c>
      <c r="J707" t="str">
        <f>"110"</f>
        <v>110</v>
      </c>
      <c r="K707" t="str">
        <f>"20210220"</f>
        <v>20210220</v>
      </c>
      <c r="L707" t="s">
        <v>18</v>
      </c>
      <c r="M707" t="str">
        <f>"20130110"</f>
        <v>20130110</v>
      </c>
    </row>
    <row r="708" spans="1:13" x14ac:dyDescent="0.25">
      <c r="A708" t="str">
        <f>"00268624"</f>
        <v>00268624</v>
      </c>
      <c r="B708" t="s">
        <v>1508</v>
      </c>
      <c r="C708" t="s">
        <v>1509</v>
      </c>
      <c r="D708" t="s">
        <v>16</v>
      </c>
      <c r="E708" t="s">
        <v>16</v>
      </c>
      <c r="F708" t="s">
        <v>17</v>
      </c>
      <c r="G708" t="str">
        <f>"02"</f>
        <v>02</v>
      </c>
      <c r="H708" t="str">
        <f>"3  "</f>
        <v xml:space="preserve">3  </v>
      </c>
      <c r="I708" t="str">
        <f>"2007/03/13"</f>
        <v>2007/03/13</v>
      </c>
      <c r="J708" t="str">
        <f>"531"</f>
        <v>531</v>
      </c>
      <c r="K708" t="str">
        <f>"20361004"</f>
        <v>20361004</v>
      </c>
      <c r="L708" t="s">
        <v>18</v>
      </c>
      <c r="M708" t="str">
        <f>"19961006"</f>
        <v>19961006</v>
      </c>
    </row>
    <row r="709" spans="1:13" x14ac:dyDescent="0.25">
      <c r="A709" t="str">
        <f>"00253140"</f>
        <v>00253140</v>
      </c>
      <c r="B709" t="s">
        <v>1508</v>
      </c>
      <c r="C709" t="s">
        <v>325</v>
      </c>
      <c r="D709" t="s">
        <v>21</v>
      </c>
      <c r="E709" t="s">
        <v>16</v>
      </c>
      <c r="F709" t="s">
        <v>17</v>
      </c>
      <c r="G709" t="str">
        <f>"02"</f>
        <v>02</v>
      </c>
      <c r="H709" t="str">
        <f>"3  "</f>
        <v xml:space="preserve">3  </v>
      </c>
      <c r="I709" t="str">
        <f>"2009/08/11"</f>
        <v>2009/08/11</v>
      </c>
      <c r="J709" t="str">
        <f>"110"</f>
        <v>110</v>
      </c>
      <c r="K709" t="str">
        <f>"20280423"</f>
        <v>20280423</v>
      </c>
      <c r="L709" t="s">
        <v>18</v>
      </c>
      <c r="M709" t="str">
        <f>"20080805"</f>
        <v>20080805</v>
      </c>
    </row>
    <row r="710" spans="1:13" x14ac:dyDescent="0.25">
      <c r="A710" t="str">
        <f>"00183514"</f>
        <v>00183514</v>
      </c>
      <c r="B710" t="s">
        <v>1512</v>
      </c>
      <c r="C710" t="s">
        <v>320</v>
      </c>
      <c r="D710" t="s">
        <v>15</v>
      </c>
      <c r="E710" t="s">
        <v>16</v>
      </c>
      <c r="F710" t="s">
        <v>17</v>
      </c>
      <c r="G710" t="str">
        <f>"02"</f>
        <v>02</v>
      </c>
      <c r="H710" t="str">
        <f>"3  "</f>
        <v xml:space="preserve">3  </v>
      </c>
      <c r="I710" t="str">
        <f>"2011/12/10"</f>
        <v>2011/12/10</v>
      </c>
      <c r="J710" t="str">
        <f>"110"</f>
        <v>110</v>
      </c>
      <c r="K710" t="str">
        <f>"20200927"</f>
        <v>20200927</v>
      </c>
      <c r="L710" t="s">
        <v>18</v>
      </c>
      <c r="M710" t="str">
        <f>"20110107"</f>
        <v>20110107</v>
      </c>
    </row>
    <row r="711" spans="1:13" x14ac:dyDescent="0.25">
      <c r="A711" t="str">
        <f>"00129596"</f>
        <v>00129596</v>
      </c>
      <c r="B711" t="s">
        <v>1513</v>
      </c>
      <c r="C711" t="s">
        <v>333</v>
      </c>
      <c r="D711" t="s">
        <v>15</v>
      </c>
      <c r="E711" t="s">
        <v>26</v>
      </c>
      <c r="F711" t="s">
        <v>17</v>
      </c>
      <c r="G711" t="str">
        <f>"02"</f>
        <v>02</v>
      </c>
      <c r="H711" t="str">
        <f>"7  "</f>
        <v xml:space="preserve">7  </v>
      </c>
      <c r="I711" t="str">
        <f>"1985/10/04"</f>
        <v>1985/10/04</v>
      </c>
      <c r="J711" t="str">
        <f>"510"</f>
        <v>510</v>
      </c>
      <c r="K711" t="s">
        <v>18</v>
      </c>
      <c r="L711" t="s">
        <v>18</v>
      </c>
      <c r="M711" t="str">
        <f>"19841204"</f>
        <v>19841204</v>
      </c>
    </row>
    <row r="712" spans="1:13" x14ac:dyDescent="0.25">
      <c r="A712" t="str">
        <f>"00517533"</f>
        <v>00517533</v>
      </c>
      <c r="B712" t="s">
        <v>1515</v>
      </c>
      <c r="C712" t="s">
        <v>331</v>
      </c>
      <c r="D712" t="s">
        <v>51</v>
      </c>
      <c r="E712" t="s">
        <v>16</v>
      </c>
      <c r="F712" t="s">
        <v>17</v>
      </c>
      <c r="G712" t="str">
        <f>"02"</f>
        <v>02</v>
      </c>
      <c r="H712" t="str">
        <f>"3  "</f>
        <v xml:space="preserve">3  </v>
      </c>
      <c r="I712" t="str">
        <f>"2019/04/22"</f>
        <v>2019/04/22</v>
      </c>
      <c r="J712" t="str">
        <f>"510"</f>
        <v>510</v>
      </c>
      <c r="K712" t="str">
        <f>"20281012"</f>
        <v>20281012</v>
      </c>
      <c r="L712" t="s">
        <v>18</v>
      </c>
      <c r="M712" t="str">
        <f>"20110817"</f>
        <v>20110817</v>
      </c>
    </row>
    <row r="713" spans="1:13" x14ac:dyDescent="0.25">
      <c r="A713" t="str">
        <f>"00386953"</f>
        <v>00386953</v>
      </c>
      <c r="B713" t="s">
        <v>1517</v>
      </c>
      <c r="C713" t="s">
        <v>68</v>
      </c>
      <c r="D713" t="s">
        <v>40</v>
      </c>
      <c r="E713" t="s">
        <v>26</v>
      </c>
      <c r="F713" t="s">
        <v>17</v>
      </c>
      <c r="G713" t="str">
        <f>"02"</f>
        <v>02</v>
      </c>
      <c r="H713" t="str">
        <f>"3  "</f>
        <v xml:space="preserve">3  </v>
      </c>
      <c r="I713" t="str">
        <f>"2020/01/24"</f>
        <v>2020/01/24</v>
      </c>
      <c r="J713" t="str">
        <f>"510"</f>
        <v>510</v>
      </c>
      <c r="K713" t="str">
        <f>"20251031"</f>
        <v>20251031</v>
      </c>
      <c r="L713" t="s">
        <v>18</v>
      </c>
      <c r="M713" t="str">
        <f>"20150513"</f>
        <v>20150513</v>
      </c>
    </row>
    <row r="714" spans="1:13" x14ac:dyDescent="0.25">
      <c r="A714" t="str">
        <f>"00181869"</f>
        <v>00181869</v>
      </c>
      <c r="B714" t="s">
        <v>1518</v>
      </c>
      <c r="C714" t="s">
        <v>14</v>
      </c>
      <c r="D714" t="s">
        <v>456</v>
      </c>
      <c r="E714" t="s">
        <v>16</v>
      </c>
      <c r="F714" t="s">
        <v>17</v>
      </c>
      <c r="G714" t="str">
        <f>"02"</f>
        <v>02</v>
      </c>
      <c r="H714" t="str">
        <f>"7  "</f>
        <v xml:space="preserve">7  </v>
      </c>
      <c r="I714" t="str">
        <f>"2001/01/17"</f>
        <v>2001/01/17</v>
      </c>
      <c r="J714" t="str">
        <f>"533"</f>
        <v>533</v>
      </c>
      <c r="K714" t="s">
        <v>18</v>
      </c>
      <c r="L714" t="str">
        <f>"20170221"</f>
        <v>20170221</v>
      </c>
      <c r="M714" t="str">
        <f>"19890404"</f>
        <v>19890404</v>
      </c>
    </row>
    <row r="715" spans="1:13" x14ac:dyDescent="0.25">
      <c r="A715" t="str">
        <f>"00447179"</f>
        <v>00447179</v>
      </c>
      <c r="B715" t="s">
        <v>1521</v>
      </c>
      <c r="C715" t="s">
        <v>320</v>
      </c>
      <c r="D715" t="s">
        <v>21</v>
      </c>
      <c r="E715" t="s">
        <v>26</v>
      </c>
      <c r="F715" t="s">
        <v>17</v>
      </c>
      <c r="G715" t="str">
        <f>"02"</f>
        <v>02</v>
      </c>
      <c r="H715" t="str">
        <f>"3  "</f>
        <v xml:space="preserve">3  </v>
      </c>
      <c r="I715" t="str">
        <f>"2019/02/11"</f>
        <v>2019/02/11</v>
      </c>
      <c r="J715" t="str">
        <f>"510"</f>
        <v>510</v>
      </c>
      <c r="K715" t="str">
        <f>"20230423"</f>
        <v>20230423</v>
      </c>
      <c r="L715" t="s">
        <v>18</v>
      </c>
      <c r="M715" t="str">
        <f>"20181009"</f>
        <v>20181009</v>
      </c>
    </row>
    <row r="716" spans="1:13" x14ac:dyDescent="0.25">
      <c r="A716" t="str">
        <f>"00135494"</f>
        <v>00135494</v>
      </c>
      <c r="B716" t="s">
        <v>1522</v>
      </c>
      <c r="C716" t="s">
        <v>938</v>
      </c>
      <c r="D716" t="s">
        <v>25</v>
      </c>
      <c r="E716" t="s">
        <v>26</v>
      </c>
      <c r="F716" t="s">
        <v>17</v>
      </c>
      <c r="G716" t="str">
        <f>"02"</f>
        <v>02</v>
      </c>
      <c r="H716" t="str">
        <f>"7  "</f>
        <v xml:space="preserve">7  </v>
      </c>
      <c r="I716" t="str">
        <f>"1976/09/03"</f>
        <v>1976/09/03</v>
      </c>
      <c r="J716" t="str">
        <f>"114"</f>
        <v>114</v>
      </c>
      <c r="K716" t="s">
        <v>18</v>
      </c>
      <c r="L716" t="str">
        <f>"20161027"</f>
        <v>20161027</v>
      </c>
      <c r="M716" t="str">
        <f>"19760317"</f>
        <v>19760317</v>
      </c>
    </row>
    <row r="717" spans="1:13" x14ac:dyDescent="0.25">
      <c r="A717" t="str">
        <f>"00162815"</f>
        <v>00162815</v>
      </c>
      <c r="B717" t="s">
        <v>1524</v>
      </c>
      <c r="C717" t="s">
        <v>258</v>
      </c>
      <c r="D717" t="s">
        <v>15</v>
      </c>
      <c r="E717" t="s">
        <v>16</v>
      </c>
      <c r="F717" t="s">
        <v>17</v>
      </c>
      <c r="G717" t="str">
        <f>"02"</f>
        <v>02</v>
      </c>
      <c r="H717" t="str">
        <f>"7  "</f>
        <v xml:space="preserve">7  </v>
      </c>
      <c r="I717" t="str">
        <f>"1990/11/09"</f>
        <v>1990/11/09</v>
      </c>
      <c r="J717" t="str">
        <f>"114"</f>
        <v>114</v>
      </c>
      <c r="K717" t="s">
        <v>18</v>
      </c>
      <c r="L717" t="str">
        <f>"20980825"</f>
        <v>20980825</v>
      </c>
      <c r="M717" t="str">
        <f>"19880826"</f>
        <v>19880826</v>
      </c>
    </row>
    <row r="718" spans="1:13" x14ac:dyDescent="0.25">
      <c r="A718" t="str">
        <f>"00367582"</f>
        <v>00367582</v>
      </c>
      <c r="B718" t="s">
        <v>1526</v>
      </c>
      <c r="C718" t="s">
        <v>1527</v>
      </c>
      <c r="D718" t="s">
        <v>40</v>
      </c>
      <c r="E718" t="s">
        <v>16</v>
      </c>
      <c r="F718" t="s">
        <v>17</v>
      </c>
      <c r="G718" t="str">
        <f>"02"</f>
        <v>02</v>
      </c>
      <c r="H718" t="str">
        <f>"3  "</f>
        <v xml:space="preserve">3  </v>
      </c>
      <c r="I718" t="str">
        <f>"2001/11/13"</f>
        <v>2001/11/13</v>
      </c>
      <c r="J718" t="str">
        <f>"114"</f>
        <v>114</v>
      </c>
      <c r="K718" t="str">
        <f>"20210312"</f>
        <v>20210312</v>
      </c>
      <c r="L718" t="s">
        <v>18</v>
      </c>
      <c r="M718" t="str">
        <f>"20001014"</f>
        <v>20001014</v>
      </c>
    </row>
    <row r="719" spans="1:13" x14ac:dyDescent="0.25">
      <c r="A719" t="str">
        <f>"00500357"</f>
        <v>00500357</v>
      </c>
      <c r="B719" t="s">
        <v>1531</v>
      </c>
      <c r="C719" t="s">
        <v>510</v>
      </c>
      <c r="D719" t="s">
        <v>45</v>
      </c>
      <c r="E719" t="s">
        <v>26</v>
      </c>
      <c r="F719" t="s">
        <v>17</v>
      </c>
      <c r="G719" t="str">
        <f>"02"</f>
        <v>02</v>
      </c>
      <c r="H719" t="str">
        <f>"3  "</f>
        <v xml:space="preserve">3  </v>
      </c>
      <c r="I719" t="str">
        <f>"2020/02/07"</f>
        <v>2020/02/07</v>
      </c>
      <c r="J719" t="str">
        <f>"510"</f>
        <v>510</v>
      </c>
      <c r="K719" t="str">
        <f>"20250927"</f>
        <v>20250927</v>
      </c>
      <c r="L719" t="s">
        <v>18</v>
      </c>
      <c r="M719" t="str">
        <f>"20180710"</f>
        <v>20180710</v>
      </c>
    </row>
    <row r="720" spans="1:13" x14ac:dyDescent="0.25">
      <c r="A720" t="str">
        <f>"00708253"</f>
        <v>00708253</v>
      </c>
      <c r="B720" t="s">
        <v>1535</v>
      </c>
      <c r="C720" t="s">
        <v>1536</v>
      </c>
      <c r="D720" t="s">
        <v>25</v>
      </c>
      <c r="E720" t="s">
        <v>26</v>
      </c>
      <c r="F720" t="s">
        <v>17</v>
      </c>
      <c r="G720" t="str">
        <f>"02"</f>
        <v>02</v>
      </c>
      <c r="H720" t="str">
        <f>"3  "</f>
        <v xml:space="preserve">3  </v>
      </c>
      <c r="I720" t="str">
        <f>"2018/10/26"</f>
        <v>2018/10/26</v>
      </c>
      <c r="J720" t="str">
        <f>"110"</f>
        <v>110</v>
      </c>
      <c r="K720" t="str">
        <f>"20210118"</f>
        <v>20210118</v>
      </c>
      <c r="L720" t="s">
        <v>18</v>
      </c>
      <c r="M720" t="str">
        <f>"20180426"</f>
        <v>20180426</v>
      </c>
    </row>
    <row r="721" spans="1:13" x14ac:dyDescent="0.25">
      <c r="A721" t="str">
        <f>"00440858"</f>
        <v>00440858</v>
      </c>
      <c r="B721" t="s">
        <v>1537</v>
      </c>
      <c r="C721" t="s">
        <v>1538</v>
      </c>
      <c r="D721" t="s">
        <v>21</v>
      </c>
      <c r="E721" t="s">
        <v>26</v>
      </c>
      <c r="F721" t="s">
        <v>17</v>
      </c>
      <c r="G721" t="str">
        <f>"02"</f>
        <v>02</v>
      </c>
      <c r="H721" t="str">
        <f>"3  "</f>
        <v xml:space="preserve">3  </v>
      </c>
      <c r="I721" t="str">
        <f>"2017/08/11"</f>
        <v>2017/08/11</v>
      </c>
      <c r="J721" t="str">
        <f>"503"</f>
        <v>503</v>
      </c>
      <c r="K721" t="str">
        <f>"20231029"</f>
        <v>20231029</v>
      </c>
      <c r="L721" t="s">
        <v>18</v>
      </c>
      <c r="M721" t="str">
        <f>"20160206"</f>
        <v>20160206</v>
      </c>
    </row>
    <row r="722" spans="1:13" x14ac:dyDescent="0.25">
      <c r="A722" t="str">
        <f>"00378095"</f>
        <v>00378095</v>
      </c>
      <c r="B722" t="s">
        <v>1539</v>
      </c>
      <c r="C722" t="s">
        <v>1540</v>
      </c>
      <c r="D722" t="s">
        <v>45</v>
      </c>
      <c r="E722" t="s">
        <v>16</v>
      </c>
      <c r="F722" t="s">
        <v>17</v>
      </c>
      <c r="G722" t="str">
        <f>"02"</f>
        <v>02</v>
      </c>
      <c r="H722" t="str">
        <f>"7  "</f>
        <v xml:space="preserve">7  </v>
      </c>
      <c r="I722" t="str">
        <f>"2003/06/24"</f>
        <v>2003/06/24</v>
      </c>
      <c r="J722" t="str">
        <f>"503"</f>
        <v>503</v>
      </c>
      <c r="K722" t="s">
        <v>18</v>
      </c>
      <c r="L722" t="s">
        <v>18</v>
      </c>
      <c r="M722" t="str">
        <f>"19970923"</f>
        <v>19970923</v>
      </c>
    </row>
    <row r="723" spans="1:13" x14ac:dyDescent="0.25">
      <c r="A723" t="str">
        <f>"00823794"</f>
        <v>00823794</v>
      </c>
      <c r="B723" t="s">
        <v>1541</v>
      </c>
      <c r="C723" t="s">
        <v>22</v>
      </c>
      <c r="D723" t="s">
        <v>97</v>
      </c>
      <c r="E723" t="s">
        <v>16</v>
      </c>
      <c r="F723" t="s">
        <v>17</v>
      </c>
      <c r="G723" t="str">
        <f>"02"</f>
        <v>02</v>
      </c>
      <c r="H723" t="str">
        <f>"3  "</f>
        <v xml:space="preserve">3  </v>
      </c>
      <c r="I723" t="str">
        <f>"2018/06/04"</f>
        <v>2018/06/04</v>
      </c>
      <c r="J723" t="str">
        <f>"503"</f>
        <v>503</v>
      </c>
      <c r="K723" t="str">
        <f>"20281013"</f>
        <v>20281013</v>
      </c>
      <c r="L723" t="s">
        <v>18</v>
      </c>
      <c r="M723" t="str">
        <f>"20170113"</f>
        <v>20170113</v>
      </c>
    </row>
    <row r="724" spans="1:13" x14ac:dyDescent="0.25">
      <c r="A724" t="str">
        <f>"00318834"</f>
        <v>00318834</v>
      </c>
      <c r="B724" t="s">
        <v>1544</v>
      </c>
      <c r="C724" t="s">
        <v>1545</v>
      </c>
      <c r="D724" t="s">
        <v>25</v>
      </c>
      <c r="E724" t="s">
        <v>26</v>
      </c>
      <c r="F724" t="s">
        <v>17</v>
      </c>
      <c r="G724" t="str">
        <f>"02"</f>
        <v>02</v>
      </c>
      <c r="H724" t="str">
        <f>"3  "</f>
        <v xml:space="preserve">3  </v>
      </c>
      <c r="I724" t="str">
        <f>"2020/09/16"</f>
        <v>2020/09/16</v>
      </c>
      <c r="J724" t="str">
        <f>"533"</f>
        <v>533</v>
      </c>
      <c r="K724" t="str">
        <f>"20290914"</f>
        <v>20290914</v>
      </c>
      <c r="L724" t="s">
        <v>18</v>
      </c>
      <c r="M724" t="str">
        <f>"20120407"</f>
        <v>20120407</v>
      </c>
    </row>
    <row r="725" spans="1:13" x14ac:dyDescent="0.25">
      <c r="A725" t="str">
        <f>"00590534"</f>
        <v>00590534</v>
      </c>
      <c r="B725" t="s">
        <v>1546</v>
      </c>
      <c r="C725" t="s">
        <v>1547</v>
      </c>
      <c r="D725" t="s">
        <v>21</v>
      </c>
      <c r="E725" t="s">
        <v>26</v>
      </c>
      <c r="F725" t="s">
        <v>17</v>
      </c>
      <c r="G725" t="str">
        <f>"02"</f>
        <v>02</v>
      </c>
      <c r="H725" t="str">
        <f>"3  "</f>
        <v xml:space="preserve">3  </v>
      </c>
      <c r="I725" t="str">
        <f>"2018/06/15"</f>
        <v>2018/06/15</v>
      </c>
      <c r="J725" t="str">
        <f>"110"</f>
        <v>110</v>
      </c>
      <c r="K725" t="str">
        <f>"20220709"</f>
        <v>20220709</v>
      </c>
      <c r="L725" t="s">
        <v>18</v>
      </c>
      <c r="M725" t="str">
        <f>"20180102"</f>
        <v>20180102</v>
      </c>
    </row>
    <row r="726" spans="1:13" x14ac:dyDescent="0.25">
      <c r="A726" t="str">
        <f>"00524800"</f>
        <v>00524800</v>
      </c>
      <c r="B726" t="s">
        <v>1546</v>
      </c>
      <c r="C726" t="s">
        <v>354</v>
      </c>
      <c r="D726" t="s">
        <v>61</v>
      </c>
      <c r="E726" t="s">
        <v>26</v>
      </c>
      <c r="F726" t="s">
        <v>17</v>
      </c>
      <c r="G726" t="str">
        <f>"02"</f>
        <v>02</v>
      </c>
      <c r="H726" t="str">
        <f>"3  "</f>
        <v xml:space="preserve">3  </v>
      </c>
      <c r="I726" t="str">
        <f>"2011/09/06"</f>
        <v>2011/09/06</v>
      </c>
      <c r="J726" t="str">
        <f>"510"</f>
        <v>510</v>
      </c>
      <c r="K726" t="str">
        <f>"20211017"</f>
        <v>20211017</v>
      </c>
      <c r="L726" t="s">
        <v>18</v>
      </c>
      <c r="M726" t="str">
        <f>"20100417"</f>
        <v>20100417</v>
      </c>
    </row>
    <row r="727" spans="1:13" x14ac:dyDescent="0.25">
      <c r="A727" t="str">
        <f>"00415594"</f>
        <v>00415594</v>
      </c>
      <c r="B727" t="s">
        <v>1548</v>
      </c>
      <c r="C727" t="s">
        <v>48</v>
      </c>
      <c r="D727" t="s">
        <v>25</v>
      </c>
      <c r="E727" t="s">
        <v>26</v>
      </c>
      <c r="F727" t="s">
        <v>17</v>
      </c>
      <c r="G727" t="str">
        <f>"02"</f>
        <v>02</v>
      </c>
      <c r="H727" t="str">
        <f>"3  "</f>
        <v xml:space="preserve">3  </v>
      </c>
      <c r="I727" t="str">
        <f>"2011/06/07"</f>
        <v>2011/06/07</v>
      </c>
      <c r="J727" t="str">
        <f>"503"</f>
        <v>503</v>
      </c>
      <c r="K727" t="str">
        <f>"20230309"</f>
        <v>20230309</v>
      </c>
      <c r="L727" t="s">
        <v>18</v>
      </c>
      <c r="M727" t="str">
        <f>"20101019"</f>
        <v>20101019</v>
      </c>
    </row>
    <row r="728" spans="1:13" x14ac:dyDescent="0.25">
      <c r="A728" t="str">
        <f>"00160379"</f>
        <v>00160379</v>
      </c>
      <c r="B728" t="s">
        <v>1549</v>
      </c>
      <c r="C728" t="s">
        <v>146</v>
      </c>
      <c r="D728" t="s">
        <v>51</v>
      </c>
      <c r="E728" t="s">
        <v>16</v>
      </c>
      <c r="F728" t="s">
        <v>17</v>
      </c>
      <c r="G728" t="str">
        <f>"02"</f>
        <v>02</v>
      </c>
      <c r="H728" t="str">
        <f>"3  "</f>
        <v xml:space="preserve">3  </v>
      </c>
      <c r="I728" t="str">
        <f>"2016/11/17"</f>
        <v>2016/11/17</v>
      </c>
      <c r="J728" t="str">
        <f>"510"</f>
        <v>510</v>
      </c>
      <c r="K728" t="str">
        <f>"20290127"</f>
        <v>20290127</v>
      </c>
      <c r="L728" t="s">
        <v>18</v>
      </c>
      <c r="M728" t="str">
        <f>"20150814"</f>
        <v>20150814</v>
      </c>
    </row>
    <row r="729" spans="1:13" x14ac:dyDescent="0.25">
      <c r="A729" t="str">
        <f>"00608475"</f>
        <v>00608475</v>
      </c>
      <c r="B729" t="s">
        <v>1552</v>
      </c>
      <c r="C729" t="s">
        <v>36</v>
      </c>
      <c r="D729" t="s">
        <v>80</v>
      </c>
      <c r="E729" t="s">
        <v>16</v>
      </c>
      <c r="F729" t="s">
        <v>17</v>
      </c>
      <c r="G729" t="str">
        <f>"02"</f>
        <v>02</v>
      </c>
      <c r="H729" t="str">
        <f>"3  "</f>
        <v xml:space="preserve">3  </v>
      </c>
      <c r="I729" t="str">
        <f>"2008/10/06"</f>
        <v>2008/10/06</v>
      </c>
      <c r="J729" t="str">
        <f>"503"</f>
        <v>503</v>
      </c>
      <c r="K729" t="str">
        <f>"20240910"</f>
        <v>20240910</v>
      </c>
      <c r="L729" t="s">
        <v>18</v>
      </c>
      <c r="M729" t="str">
        <f>"20071217"</f>
        <v>20071217</v>
      </c>
    </row>
    <row r="730" spans="1:13" x14ac:dyDescent="0.25">
      <c r="A730" t="str">
        <f>"00193843"</f>
        <v>00193843</v>
      </c>
      <c r="B730" t="s">
        <v>1555</v>
      </c>
      <c r="C730" t="s">
        <v>169</v>
      </c>
      <c r="D730" t="s">
        <v>51</v>
      </c>
      <c r="E730" t="s">
        <v>26</v>
      </c>
      <c r="F730" t="s">
        <v>17</v>
      </c>
      <c r="G730" t="str">
        <f>"02"</f>
        <v>02</v>
      </c>
      <c r="H730" t="str">
        <f>"7  "</f>
        <v xml:space="preserve">7  </v>
      </c>
      <c r="I730" t="str">
        <f>"2001/01/17"</f>
        <v>2001/01/17</v>
      </c>
      <c r="J730" t="str">
        <f>"533"</f>
        <v>533</v>
      </c>
      <c r="K730" t="s">
        <v>18</v>
      </c>
      <c r="L730" t="s">
        <v>18</v>
      </c>
      <c r="M730" t="str">
        <f>"19830409"</f>
        <v>19830409</v>
      </c>
    </row>
    <row r="731" spans="1:13" x14ac:dyDescent="0.25">
      <c r="A731" t="str">
        <f>"00291998"</f>
        <v>00291998</v>
      </c>
      <c r="B731" t="s">
        <v>1558</v>
      </c>
      <c r="C731" t="s">
        <v>1559</v>
      </c>
      <c r="D731" t="s">
        <v>25</v>
      </c>
      <c r="E731" t="s">
        <v>16</v>
      </c>
      <c r="F731" t="s">
        <v>17</v>
      </c>
      <c r="G731" t="str">
        <f>"02"</f>
        <v>02</v>
      </c>
      <c r="H731" t="str">
        <f>"3  "</f>
        <v xml:space="preserve">3  </v>
      </c>
      <c r="I731" t="str">
        <f>"2013/09/12"</f>
        <v>2013/09/12</v>
      </c>
      <c r="J731" t="str">
        <f>"510"</f>
        <v>510</v>
      </c>
      <c r="K731" t="str">
        <f>"20210323"</f>
        <v>20210323</v>
      </c>
      <c r="L731" t="s">
        <v>18</v>
      </c>
      <c r="M731" t="str">
        <f>"20120401"</f>
        <v>20120401</v>
      </c>
    </row>
    <row r="732" spans="1:13" x14ac:dyDescent="0.25">
      <c r="A732" t="str">
        <f>"00323679"</f>
        <v>00323679</v>
      </c>
      <c r="B732" t="s">
        <v>1558</v>
      </c>
      <c r="C732" t="s">
        <v>802</v>
      </c>
      <c r="D732" t="s">
        <v>15</v>
      </c>
      <c r="E732" t="s">
        <v>16</v>
      </c>
      <c r="F732" t="s">
        <v>17</v>
      </c>
      <c r="G732" t="str">
        <f>"02"</f>
        <v>02</v>
      </c>
      <c r="H732" t="str">
        <f>"3  "</f>
        <v xml:space="preserve">3  </v>
      </c>
      <c r="I732" t="str">
        <f>"2019/02/11"</f>
        <v>2019/02/11</v>
      </c>
      <c r="J732" t="str">
        <f>"510"</f>
        <v>510</v>
      </c>
      <c r="K732" t="str">
        <f>"20670719"</f>
        <v>20670719</v>
      </c>
      <c r="L732" t="s">
        <v>18</v>
      </c>
      <c r="M732" t="str">
        <f>"20190111"</f>
        <v>20190111</v>
      </c>
    </row>
    <row r="733" spans="1:13" x14ac:dyDescent="0.25">
      <c r="A733" t="str">
        <f>"00581635"</f>
        <v>00581635</v>
      </c>
      <c r="B733" t="s">
        <v>1560</v>
      </c>
      <c r="C733" t="s">
        <v>1561</v>
      </c>
      <c r="D733" t="s">
        <v>40</v>
      </c>
      <c r="E733" t="s">
        <v>16</v>
      </c>
      <c r="F733" t="s">
        <v>17</v>
      </c>
      <c r="G733" t="str">
        <f>"02"</f>
        <v>02</v>
      </c>
      <c r="H733" t="str">
        <f>"3  "</f>
        <v xml:space="preserve">3  </v>
      </c>
      <c r="I733" t="str">
        <f>"2020/09/16"</f>
        <v>2020/09/16</v>
      </c>
      <c r="J733" t="str">
        <f>"533"</f>
        <v>533</v>
      </c>
      <c r="K733" t="str">
        <f>"20320123"</f>
        <v>20320123</v>
      </c>
      <c r="L733" t="s">
        <v>18</v>
      </c>
      <c r="M733" t="str">
        <f>"20100807"</f>
        <v>20100807</v>
      </c>
    </row>
    <row r="734" spans="1:13" x14ac:dyDescent="0.25">
      <c r="A734" t="str">
        <f>"00367685"</f>
        <v>00367685</v>
      </c>
      <c r="B734" t="s">
        <v>1583</v>
      </c>
      <c r="C734" t="s">
        <v>936</v>
      </c>
      <c r="D734" t="s">
        <v>16</v>
      </c>
      <c r="E734" t="s">
        <v>26</v>
      </c>
      <c r="F734" t="s">
        <v>17</v>
      </c>
      <c r="G734" t="str">
        <f>"02"</f>
        <v>02</v>
      </c>
      <c r="H734" t="str">
        <f>"7  "</f>
        <v xml:space="preserve">7  </v>
      </c>
      <c r="I734" t="str">
        <f>"2001/07/17"</f>
        <v>2001/07/17</v>
      </c>
      <c r="J734" t="str">
        <f>"510"</f>
        <v>510</v>
      </c>
      <c r="K734" t="s">
        <v>18</v>
      </c>
      <c r="L734" t="s">
        <v>18</v>
      </c>
      <c r="M734" t="str">
        <f>"19990614"</f>
        <v>19990614</v>
      </c>
    </row>
    <row r="735" spans="1:13" x14ac:dyDescent="0.25">
      <c r="A735" t="str">
        <f>"00157709"</f>
        <v>00157709</v>
      </c>
      <c r="B735" t="s">
        <v>1583</v>
      </c>
      <c r="C735" t="s">
        <v>353</v>
      </c>
      <c r="D735" t="s">
        <v>15</v>
      </c>
      <c r="E735" t="s">
        <v>16</v>
      </c>
      <c r="F735" t="s">
        <v>17</v>
      </c>
      <c r="G735" t="str">
        <f>"02"</f>
        <v>02</v>
      </c>
      <c r="H735" t="str">
        <f>"3  "</f>
        <v xml:space="preserve">3  </v>
      </c>
      <c r="I735" t="str">
        <f>"1980/05/22"</f>
        <v>1980/05/22</v>
      </c>
      <c r="J735" t="str">
        <f>"990"</f>
        <v>990</v>
      </c>
      <c r="K735" t="str">
        <f>"20390307"</f>
        <v>20390307</v>
      </c>
      <c r="L735" t="str">
        <f>"20341119"</f>
        <v>20341119</v>
      </c>
      <c r="M735" t="str">
        <f>"19790118"</f>
        <v>19790118</v>
      </c>
    </row>
    <row r="736" spans="1:13" x14ac:dyDescent="0.25">
      <c r="A736" t="str">
        <f>"00296601"</f>
        <v>00296601</v>
      </c>
      <c r="B736" t="s">
        <v>1584</v>
      </c>
      <c r="C736" t="s">
        <v>74</v>
      </c>
      <c r="D736" t="s">
        <v>21</v>
      </c>
      <c r="E736" t="s">
        <v>26</v>
      </c>
      <c r="F736" t="s">
        <v>17</v>
      </c>
      <c r="G736" t="str">
        <f>"02"</f>
        <v>02</v>
      </c>
      <c r="H736" t="str">
        <f>"3  "</f>
        <v xml:space="preserve">3  </v>
      </c>
      <c r="I736" t="str">
        <f>"2018/08/16"</f>
        <v>2018/08/16</v>
      </c>
      <c r="J736" t="str">
        <f>"510"</f>
        <v>510</v>
      </c>
      <c r="K736" t="str">
        <f>"20310429"</f>
        <v>20310429</v>
      </c>
      <c r="L736" t="s">
        <v>18</v>
      </c>
      <c r="M736" t="str">
        <f>"20180118"</f>
        <v>20180118</v>
      </c>
    </row>
    <row r="737" spans="1:13" x14ac:dyDescent="0.25">
      <c r="A737" t="str">
        <f>"00410672"</f>
        <v>00410672</v>
      </c>
      <c r="B737" t="s">
        <v>1584</v>
      </c>
      <c r="C737" t="s">
        <v>655</v>
      </c>
      <c r="D737" t="s">
        <v>51</v>
      </c>
      <c r="E737" t="s">
        <v>16</v>
      </c>
      <c r="F737" t="s">
        <v>17</v>
      </c>
      <c r="G737" t="str">
        <f>"02"</f>
        <v>02</v>
      </c>
      <c r="H737" t="str">
        <f>"3  "</f>
        <v xml:space="preserve">3  </v>
      </c>
      <c r="I737" t="str">
        <f>"2016/07/14"</f>
        <v>2016/07/14</v>
      </c>
      <c r="J737" t="str">
        <f>"110"</f>
        <v>110</v>
      </c>
      <c r="K737" t="str">
        <f>"20240504"</f>
        <v>20240504</v>
      </c>
      <c r="L737" t="s">
        <v>18</v>
      </c>
      <c r="M737" t="str">
        <f>"20150922"</f>
        <v>20150922</v>
      </c>
    </row>
    <row r="738" spans="1:13" x14ac:dyDescent="0.25">
      <c r="A738" t="str">
        <f>"00158196"</f>
        <v>00158196</v>
      </c>
      <c r="B738" t="s">
        <v>1585</v>
      </c>
      <c r="C738" t="s">
        <v>308</v>
      </c>
      <c r="D738" t="s">
        <v>45</v>
      </c>
      <c r="E738" t="s">
        <v>16</v>
      </c>
      <c r="F738" t="s">
        <v>17</v>
      </c>
      <c r="G738" t="str">
        <f>"02"</f>
        <v>02</v>
      </c>
      <c r="H738" t="str">
        <f>"7  "</f>
        <v xml:space="preserve">7  </v>
      </c>
      <c r="I738" t="str">
        <f>"1992/06/19"</f>
        <v>1992/06/19</v>
      </c>
      <c r="J738" t="str">
        <f>"503"</f>
        <v>503</v>
      </c>
      <c r="K738" t="s">
        <v>18</v>
      </c>
      <c r="L738" t="str">
        <f>"20181015"</f>
        <v>20181015</v>
      </c>
      <c r="M738" t="str">
        <f>"19720420"</f>
        <v>19720420</v>
      </c>
    </row>
    <row r="739" spans="1:13" x14ac:dyDescent="0.25">
      <c r="A739" t="str">
        <f>"00158774"</f>
        <v>00158774</v>
      </c>
      <c r="B739" t="s">
        <v>1586</v>
      </c>
      <c r="C739" t="s">
        <v>281</v>
      </c>
      <c r="D739" t="s">
        <v>53</v>
      </c>
      <c r="E739" t="s">
        <v>26</v>
      </c>
      <c r="F739" t="s">
        <v>17</v>
      </c>
      <c r="G739" t="str">
        <f>"02"</f>
        <v>02</v>
      </c>
      <c r="H739" t="str">
        <f>"3  "</f>
        <v xml:space="preserve">3  </v>
      </c>
      <c r="I739" t="str">
        <f>"2020/03/17"</f>
        <v>2020/03/17</v>
      </c>
      <c r="J739" t="str">
        <f>"510"</f>
        <v>510</v>
      </c>
      <c r="K739" t="str">
        <f>"20531101"</f>
        <v>20531101</v>
      </c>
      <c r="L739" t="s">
        <v>18</v>
      </c>
      <c r="M739" t="str">
        <f>"20130306"</f>
        <v>20130306</v>
      </c>
    </row>
    <row r="740" spans="1:13" x14ac:dyDescent="0.25">
      <c r="A740" t="str">
        <f>"00429485"</f>
        <v>00429485</v>
      </c>
      <c r="B740" t="s">
        <v>1588</v>
      </c>
      <c r="C740" t="s">
        <v>55</v>
      </c>
      <c r="D740" t="s">
        <v>97</v>
      </c>
      <c r="E740" t="s">
        <v>26</v>
      </c>
      <c r="F740" t="s">
        <v>17</v>
      </c>
      <c r="G740" t="str">
        <f>"02"</f>
        <v>02</v>
      </c>
      <c r="H740" t="str">
        <f>"7  "</f>
        <v xml:space="preserve">7  </v>
      </c>
      <c r="I740" t="str">
        <f>"2004/06/03"</f>
        <v>2004/06/03</v>
      </c>
      <c r="J740" t="str">
        <f>"510"</f>
        <v>510</v>
      </c>
      <c r="K740" t="s">
        <v>18</v>
      </c>
      <c r="L740" t="s">
        <v>18</v>
      </c>
      <c r="M740" t="str">
        <f>"20010716"</f>
        <v>20010716</v>
      </c>
    </row>
    <row r="741" spans="1:13" x14ac:dyDescent="0.25">
      <c r="A741" t="str">
        <f>"00749305"</f>
        <v>00749305</v>
      </c>
      <c r="B741" t="s">
        <v>1599</v>
      </c>
      <c r="C741" t="s">
        <v>1600</v>
      </c>
      <c r="D741" t="s">
        <v>25</v>
      </c>
      <c r="E741" t="s">
        <v>26</v>
      </c>
      <c r="F741" t="s">
        <v>17</v>
      </c>
      <c r="G741" t="str">
        <f>"02"</f>
        <v>02</v>
      </c>
      <c r="H741" t="str">
        <f>"3  "</f>
        <v xml:space="preserve">3  </v>
      </c>
      <c r="I741" t="str">
        <f>"2019/07/26"</f>
        <v>2019/07/26</v>
      </c>
      <c r="J741" t="str">
        <f>"510"</f>
        <v>510</v>
      </c>
      <c r="K741" t="str">
        <f>"20210919"</f>
        <v>20210919</v>
      </c>
      <c r="L741" t="s">
        <v>18</v>
      </c>
      <c r="M741" t="str">
        <f>"20180714"</f>
        <v>20180714</v>
      </c>
    </row>
    <row r="742" spans="1:13" x14ac:dyDescent="0.25">
      <c r="A742" t="str">
        <f>"00579664"</f>
        <v>00579664</v>
      </c>
      <c r="B742" t="s">
        <v>1605</v>
      </c>
      <c r="C742" t="s">
        <v>1606</v>
      </c>
      <c r="D742" t="s">
        <v>80</v>
      </c>
      <c r="E742" t="s">
        <v>26</v>
      </c>
      <c r="F742" t="s">
        <v>17</v>
      </c>
      <c r="G742" t="str">
        <f>"02"</f>
        <v>02</v>
      </c>
      <c r="H742" t="str">
        <f>"3  "</f>
        <v xml:space="preserve">3  </v>
      </c>
      <c r="I742" t="str">
        <f>"2007/12/13"</f>
        <v>2007/12/13</v>
      </c>
      <c r="J742" t="str">
        <f>"110"</f>
        <v>110</v>
      </c>
      <c r="K742" t="str">
        <f>"20210425"</f>
        <v>20210425</v>
      </c>
      <c r="L742" t="s">
        <v>18</v>
      </c>
      <c r="M742" t="str">
        <f>"20071016"</f>
        <v>20071016</v>
      </c>
    </row>
    <row r="743" spans="1:13" x14ac:dyDescent="0.25">
      <c r="A743" t="str">
        <f>"00618980"</f>
        <v>00618980</v>
      </c>
      <c r="B743" t="s">
        <v>1612</v>
      </c>
      <c r="C743" t="s">
        <v>1613</v>
      </c>
      <c r="D743" t="s">
        <v>15</v>
      </c>
      <c r="E743" t="s">
        <v>16</v>
      </c>
      <c r="F743" t="s">
        <v>17</v>
      </c>
      <c r="G743" t="str">
        <f>"02"</f>
        <v>02</v>
      </c>
      <c r="H743" t="str">
        <f>"7  "</f>
        <v xml:space="preserve">7  </v>
      </c>
      <c r="I743" t="str">
        <f>"2010/05/28"</f>
        <v>2010/05/28</v>
      </c>
      <c r="J743" t="str">
        <f>"510"</f>
        <v>510</v>
      </c>
      <c r="K743" t="s">
        <v>18</v>
      </c>
      <c r="L743" t="s">
        <v>18</v>
      </c>
      <c r="M743" t="str">
        <f>"20080525"</f>
        <v>20080525</v>
      </c>
    </row>
    <row r="744" spans="1:13" x14ac:dyDescent="0.25">
      <c r="A744" t="str">
        <f>"00164255"</f>
        <v>00164255</v>
      </c>
      <c r="B744" t="s">
        <v>1615</v>
      </c>
      <c r="C744" t="s">
        <v>118</v>
      </c>
      <c r="D744" t="s">
        <v>80</v>
      </c>
      <c r="E744" t="s">
        <v>16</v>
      </c>
      <c r="F744" t="s">
        <v>17</v>
      </c>
      <c r="G744" t="str">
        <f>"02"</f>
        <v>02</v>
      </c>
      <c r="H744" t="str">
        <f>"7  "</f>
        <v xml:space="preserve">7  </v>
      </c>
      <c r="I744" t="str">
        <f>"1989/08/31"</f>
        <v>1989/08/31</v>
      </c>
      <c r="J744" t="str">
        <f>"114"</f>
        <v>114</v>
      </c>
      <c r="K744" t="s">
        <v>18</v>
      </c>
      <c r="L744" t="str">
        <f>"20080707"</f>
        <v>20080707</v>
      </c>
      <c r="M744" t="str">
        <f>"19880708"</f>
        <v>19880708</v>
      </c>
    </row>
    <row r="745" spans="1:13" x14ac:dyDescent="0.25">
      <c r="A745" t="str">
        <f>"00394140"</f>
        <v>00394140</v>
      </c>
      <c r="B745" t="s">
        <v>1616</v>
      </c>
      <c r="C745" t="s">
        <v>426</v>
      </c>
      <c r="D745" t="s">
        <v>25</v>
      </c>
      <c r="E745" t="s">
        <v>26</v>
      </c>
      <c r="F745" t="s">
        <v>17</v>
      </c>
      <c r="G745" t="str">
        <f>"02"</f>
        <v>02</v>
      </c>
      <c r="H745" t="str">
        <f>"3  "</f>
        <v xml:space="preserve">3  </v>
      </c>
      <c r="I745" t="str">
        <f>"2020/02/04"</f>
        <v>2020/02/04</v>
      </c>
      <c r="J745" t="str">
        <f>"510"</f>
        <v>510</v>
      </c>
      <c r="K745" t="str">
        <f>"20270204"</f>
        <v>20270204</v>
      </c>
      <c r="L745" t="s">
        <v>18</v>
      </c>
      <c r="M745" t="str">
        <f>"20180225"</f>
        <v>20180225</v>
      </c>
    </row>
    <row r="746" spans="1:13" x14ac:dyDescent="0.25">
      <c r="A746" t="str">
        <f>"00175911"</f>
        <v>00175911</v>
      </c>
      <c r="B746" t="s">
        <v>1616</v>
      </c>
      <c r="C746" t="s">
        <v>1618</v>
      </c>
      <c r="D746" t="s">
        <v>142</v>
      </c>
      <c r="E746" t="s">
        <v>26</v>
      </c>
      <c r="F746" t="s">
        <v>17</v>
      </c>
      <c r="G746" t="str">
        <f>"02"</f>
        <v>02</v>
      </c>
      <c r="H746" t="str">
        <f>"3  "</f>
        <v xml:space="preserve">3  </v>
      </c>
      <c r="I746" t="str">
        <f>"2011/01/04"</f>
        <v>2011/01/04</v>
      </c>
      <c r="J746" t="str">
        <f>"510"</f>
        <v>510</v>
      </c>
      <c r="K746" t="str">
        <f>"20220609"</f>
        <v>20220609</v>
      </c>
      <c r="L746" t="s">
        <v>18</v>
      </c>
      <c r="M746" t="str">
        <f>"20091113"</f>
        <v>20091113</v>
      </c>
    </row>
    <row r="747" spans="1:13" x14ac:dyDescent="0.25">
      <c r="A747" t="str">
        <f>"00385702"</f>
        <v>00385702</v>
      </c>
      <c r="B747" t="s">
        <v>1621</v>
      </c>
      <c r="C747" t="s">
        <v>135</v>
      </c>
      <c r="D747" t="s">
        <v>51</v>
      </c>
      <c r="E747" t="s">
        <v>26</v>
      </c>
      <c r="F747" t="s">
        <v>17</v>
      </c>
      <c r="G747" t="str">
        <f>"02"</f>
        <v>02</v>
      </c>
      <c r="H747" t="str">
        <f>"3  "</f>
        <v xml:space="preserve">3  </v>
      </c>
      <c r="I747" t="str">
        <f>"2019/08/22"</f>
        <v>2019/08/22</v>
      </c>
      <c r="J747" t="str">
        <f>"533"</f>
        <v>533</v>
      </c>
      <c r="K747" t="str">
        <f>"20220505"</f>
        <v>20220505</v>
      </c>
      <c r="L747" t="s">
        <v>18</v>
      </c>
      <c r="M747" t="str">
        <f>"20171115"</f>
        <v>20171115</v>
      </c>
    </row>
    <row r="748" spans="1:13" x14ac:dyDescent="0.25">
      <c r="A748" t="str">
        <f>"00167275"</f>
        <v>00167275</v>
      </c>
      <c r="B748" t="s">
        <v>1621</v>
      </c>
      <c r="C748" t="s">
        <v>1622</v>
      </c>
      <c r="D748" t="s">
        <v>31</v>
      </c>
      <c r="E748" t="s">
        <v>26</v>
      </c>
      <c r="F748" t="s">
        <v>17</v>
      </c>
      <c r="G748" t="str">
        <f>"02"</f>
        <v>02</v>
      </c>
      <c r="H748" t="str">
        <f>"7  "</f>
        <v xml:space="preserve">7  </v>
      </c>
      <c r="I748" t="str">
        <f>"2008/06/11"</f>
        <v>2008/06/11</v>
      </c>
      <c r="J748" t="str">
        <f>"503"</f>
        <v>503</v>
      </c>
      <c r="K748" t="s">
        <v>18</v>
      </c>
      <c r="L748" t="s">
        <v>18</v>
      </c>
      <c r="M748" t="str">
        <f>"19910829"</f>
        <v>19910829</v>
      </c>
    </row>
    <row r="749" spans="1:13" x14ac:dyDescent="0.25">
      <c r="A749" t="str">
        <f>"00566391"</f>
        <v>00566391</v>
      </c>
      <c r="B749" t="s">
        <v>1621</v>
      </c>
      <c r="C749" t="s">
        <v>62</v>
      </c>
      <c r="D749" t="s">
        <v>15</v>
      </c>
      <c r="E749" t="s">
        <v>26</v>
      </c>
      <c r="F749" t="s">
        <v>17</v>
      </c>
      <c r="G749" t="str">
        <f>"02"</f>
        <v>02</v>
      </c>
      <c r="H749" t="str">
        <f>"3  "</f>
        <v xml:space="preserve">3  </v>
      </c>
      <c r="I749" t="str">
        <f>"2009/06/26"</f>
        <v>2009/06/26</v>
      </c>
      <c r="J749" t="str">
        <f>"510"</f>
        <v>510</v>
      </c>
      <c r="K749" t="str">
        <f>"20270830"</f>
        <v>20270830</v>
      </c>
      <c r="L749" t="s">
        <v>18</v>
      </c>
      <c r="M749" t="str">
        <f>"20060220"</f>
        <v>20060220</v>
      </c>
    </row>
    <row r="750" spans="1:13" x14ac:dyDescent="0.25">
      <c r="A750" t="str">
        <f>"00534243"</f>
        <v>00534243</v>
      </c>
      <c r="B750" t="s">
        <v>1632</v>
      </c>
      <c r="C750" t="s">
        <v>120</v>
      </c>
      <c r="D750" t="s">
        <v>80</v>
      </c>
      <c r="E750" t="s">
        <v>26</v>
      </c>
      <c r="F750" t="s">
        <v>17</v>
      </c>
      <c r="G750" t="str">
        <f>"02"</f>
        <v>02</v>
      </c>
      <c r="H750" t="str">
        <f>"3  "</f>
        <v xml:space="preserve">3  </v>
      </c>
      <c r="I750" t="str">
        <f>"2019/07/26"</f>
        <v>2019/07/26</v>
      </c>
      <c r="J750" t="str">
        <f>"510"</f>
        <v>510</v>
      </c>
      <c r="K750" t="str">
        <f>"20261014"</f>
        <v>20261014</v>
      </c>
      <c r="L750" t="s">
        <v>18</v>
      </c>
      <c r="M750" t="str">
        <f>"20171211"</f>
        <v>20171211</v>
      </c>
    </row>
    <row r="751" spans="1:13" x14ac:dyDescent="0.25">
      <c r="A751" t="str">
        <f>"00180180"</f>
        <v>00180180</v>
      </c>
      <c r="B751" t="s">
        <v>1634</v>
      </c>
      <c r="C751" t="s">
        <v>1635</v>
      </c>
      <c r="D751" t="s">
        <v>51</v>
      </c>
      <c r="E751" t="s">
        <v>26</v>
      </c>
      <c r="F751" t="s">
        <v>17</v>
      </c>
      <c r="G751" t="str">
        <f>"02"</f>
        <v>02</v>
      </c>
      <c r="H751" t="str">
        <f>"3  "</f>
        <v xml:space="preserve">3  </v>
      </c>
      <c r="I751" t="str">
        <f>"2007/12/21"</f>
        <v>2007/12/21</v>
      </c>
      <c r="J751" t="str">
        <f>"531"</f>
        <v>531</v>
      </c>
      <c r="K751" t="str">
        <f>"20211124"</f>
        <v>20211124</v>
      </c>
      <c r="L751" t="s">
        <v>18</v>
      </c>
      <c r="M751" t="str">
        <f>"19851118"</f>
        <v>19851118</v>
      </c>
    </row>
    <row r="752" spans="1:13" x14ac:dyDescent="0.25">
      <c r="A752" t="str">
        <f>"00867931"</f>
        <v>00867931</v>
      </c>
      <c r="B752" t="s">
        <v>1640</v>
      </c>
      <c r="C752" t="s">
        <v>398</v>
      </c>
      <c r="D752" t="s">
        <v>26</v>
      </c>
      <c r="E752" t="s">
        <v>16</v>
      </c>
      <c r="F752" t="s">
        <v>17</v>
      </c>
      <c r="G752" t="str">
        <f>"02"</f>
        <v>02</v>
      </c>
      <c r="H752" t="str">
        <f>"3  "</f>
        <v xml:space="preserve">3  </v>
      </c>
      <c r="I752" t="str">
        <f>"2018/11/02"</f>
        <v>2018/11/02</v>
      </c>
      <c r="J752" t="str">
        <f>"510"</f>
        <v>510</v>
      </c>
      <c r="K752" t="str">
        <f>"20531124"</f>
        <v>20531124</v>
      </c>
      <c r="L752" t="s">
        <v>18</v>
      </c>
      <c r="M752" t="str">
        <f>"20171102"</f>
        <v>20171102</v>
      </c>
    </row>
    <row r="753" spans="1:13" x14ac:dyDescent="0.25">
      <c r="A753" t="str">
        <f>"00653324"</f>
        <v>00653324</v>
      </c>
      <c r="B753" t="s">
        <v>1645</v>
      </c>
      <c r="C753" t="s">
        <v>44</v>
      </c>
      <c r="D753" t="s">
        <v>25</v>
      </c>
      <c r="E753" t="s">
        <v>26</v>
      </c>
      <c r="F753" t="s">
        <v>17</v>
      </c>
      <c r="G753" t="str">
        <f>"02"</f>
        <v>02</v>
      </c>
      <c r="H753" t="str">
        <f>"3  "</f>
        <v xml:space="preserve">3  </v>
      </c>
      <c r="I753" t="str">
        <f>"2020/09/02"</f>
        <v>2020/09/02</v>
      </c>
      <c r="J753" t="str">
        <f>"533"</f>
        <v>533</v>
      </c>
      <c r="K753" t="str">
        <f>"20400516"</f>
        <v>20400516</v>
      </c>
      <c r="L753" t="s">
        <v>18</v>
      </c>
      <c r="M753" t="str">
        <f>"20091015"</f>
        <v>20091015</v>
      </c>
    </row>
    <row r="754" spans="1:13" x14ac:dyDescent="0.25">
      <c r="A754" t="str">
        <f>"00834368"</f>
        <v>00834368</v>
      </c>
      <c r="B754" t="s">
        <v>1645</v>
      </c>
      <c r="C754" t="s">
        <v>1646</v>
      </c>
      <c r="D754" t="s">
        <v>182</v>
      </c>
      <c r="E754" t="s">
        <v>26</v>
      </c>
      <c r="F754" t="s">
        <v>17</v>
      </c>
      <c r="G754" t="str">
        <f>"02"</f>
        <v>02</v>
      </c>
      <c r="H754" t="str">
        <f>"3  "</f>
        <v xml:space="preserve">3  </v>
      </c>
      <c r="I754" t="str">
        <f>"2019/05/24"</f>
        <v>2019/05/24</v>
      </c>
      <c r="J754" t="str">
        <f>"506"</f>
        <v>506</v>
      </c>
      <c r="K754" t="str">
        <f>"20201210"</f>
        <v>20201210</v>
      </c>
      <c r="L754" t="s">
        <v>18</v>
      </c>
      <c r="M754" t="str">
        <f>"20190511"</f>
        <v>20190511</v>
      </c>
    </row>
    <row r="755" spans="1:13" x14ac:dyDescent="0.25">
      <c r="A755" t="str">
        <f>"00272909"</f>
        <v>00272909</v>
      </c>
      <c r="B755" t="s">
        <v>1647</v>
      </c>
      <c r="C755" t="s">
        <v>639</v>
      </c>
      <c r="D755" t="s">
        <v>80</v>
      </c>
      <c r="E755" t="s">
        <v>26</v>
      </c>
      <c r="F755" t="s">
        <v>17</v>
      </c>
      <c r="G755" t="str">
        <f>"02"</f>
        <v>02</v>
      </c>
      <c r="H755" t="str">
        <f>"3  "</f>
        <v xml:space="preserve">3  </v>
      </c>
      <c r="I755" t="str">
        <f>"2014/03/06"</f>
        <v>2014/03/06</v>
      </c>
      <c r="J755" t="str">
        <f>"110"</f>
        <v>110</v>
      </c>
      <c r="K755" t="str">
        <f>"20201112"</f>
        <v>20201112</v>
      </c>
      <c r="L755" t="s">
        <v>18</v>
      </c>
      <c r="M755" t="str">
        <f>"20131207"</f>
        <v>20131207</v>
      </c>
    </row>
    <row r="756" spans="1:13" x14ac:dyDescent="0.25">
      <c r="A756" t="str">
        <f>"00133842"</f>
        <v>00133842</v>
      </c>
      <c r="B756" t="s">
        <v>1648</v>
      </c>
      <c r="C756" t="s">
        <v>1649</v>
      </c>
      <c r="D756" t="s">
        <v>61</v>
      </c>
      <c r="E756" t="s">
        <v>16</v>
      </c>
      <c r="F756" t="s">
        <v>17</v>
      </c>
      <c r="G756" t="str">
        <f>"02"</f>
        <v>02</v>
      </c>
      <c r="H756" t="str">
        <f>"7  "</f>
        <v xml:space="preserve">7  </v>
      </c>
      <c r="I756" t="str">
        <f>"2005/02/11"</f>
        <v>2005/02/11</v>
      </c>
      <c r="J756" t="str">
        <f>"503"</f>
        <v>503</v>
      </c>
      <c r="K756" t="s">
        <v>18</v>
      </c>
      <c r="L756" t="s">
        <v>18</v>
      </c>
      <c r="M756" t="str">
        <f>"19760219"</f>
        <v>19760219</v>
      </c>
    </row>
    <row r="757" spans="1:13" x14ac:dyDescent="0.25">
      <c r="A757" t="str">
        <f>"00302922"</f>
        <v>00302922</v>
      </c>
      <c r="B757" t="s">
        <v>1652</v>
      </c>
      <c r="C757" t="s">
        <v>1384</v>
      </c>
      <c r="D757" t="s">
        <v>15</v>
      </c>
      <c r="E757" t="s">
        <v>26</v>
      </c>
      <c r="F757" t="s">
        <v>17</v>
      </c>
      <c r="G757" t="str">
        <f>"02"</f>
        <v>02</v>
      </c>
      <c r="H757" t="str">
        <f>"3  "</f>
        <v xml:space="preserve">3  </v>
      </c>
      <c r="I757" t="str">
        <f>"2020/09/17"</f>
        <v>2020/09/17</v>
      </c>
      <c r="J757" t="str">
        <f>"503"</f>
        <v>503</v>
      </c>
      <c r="K757" t="str">
        <f>"20201130"</f>
        <v>20201130</v>
      </c>
      <c r="L757" t="s">
        <v>18</v>
      </c>
      <c r="M757" t="str">
        <f>"20170823"</f>
        <v>20170823</v>
      </c>
    </row>
    <row r="758" spans="1:13" x14ac:dyDescent="0.25">
      <c r="A758" t="str">
        <f>"00466906"</f>
        <v>00466906</v>
      </c>
      <c r="B758" t="s">
        <v>1653</v>
      </c>
      <c r="C758" t="s">
        <v>136</v>
      </c>
      <c r="D758" t="s">
        <v>40</v>
      </c>
      <c r="E758" t="s">
        <v>16</v>
      </c>
      <c r="F758" t="s">
        <v>17</v>
      </c>
      <c r="G758" t="str">
        <f>"02"</f>
        <v>02</v>
      </c>
      <c r="H758" t="str">
        <f>"7  "</f>
        <v xml:space="preserve">7  </v>
      </c>
      <c r="I758" t="str">
        <f>"2009/09/28"</f>
        <v>2009/09/28</v>
      </c>
      <c r="J758" t="str">
        <f>"510"</f>
        <v>510</v>
      </c>
      <c r="K758" t="s">
        <v>18</v>
      </c>
      <c r="L758" t="s">
        <v>18</v>
      </c>
      <c r="M758" t="str">
        <f>"20081010"</f>
        <v>20081010</v>
      </c>
    </row>
    <row r="759" spans="1:13" x14ac:dyDescent="0.25">
      <c r="A759" t="str">
        <f>"00306863"</f>
        <v>00306863</v>
      </c>
      <c r="B759" t="s">
        <v>1657</v>
      </c>
      <c r="C759" t="s">
        <v>1384</v>
      </c>
      <c r="D759" t="s">
        <v>25</v>
      </c>
      <c r="E759" t="s">
        <v>16</v>
      </c>
      <c r="F759" t="s">
        <v>17</v>
      </c>
      <c r="G759" t="str">
        <f>"02"</f>
        <v>02</v>
      </c>
      <c r="H759" t="str">
        <f>"7  "</f>
        <v xml:space="preserve">7  </v>
      </c>
      <c r="I759" t="str">
        <f>"2012/09/06"</f>
        <v>2012/09/06</v>
      </c>
      <c r="J759" t="str">
        <f>"110"</f>
        <v>110</v>
      </c>
      <c r="K759" t="s">
        <v>18</v>
      </c>
      <c r="L759" t="s">
        <v>18</v>
      </c>
      <c r="M759" t="str">
        <f>"20110702"</f>
        <v>20110702</v>
      </c>
    </row>
    <row r="760" spans="1:13" x14ac:dyDescent="0.25">
      <c r="A760" t="str">
        <f>"00505108"</f>
        <v>00505108</v>
      </c>
      <c r="B760" t="s">
        <v>1657</v>
      </c>
      <c r="C760" t="s">
        <v>1658</v>
      </c>
      <c r="D760" t="s">
        <v>21</v>
      </c>
      <c r="E760" t="s">
        <v>16</v>
      </c>
      <c r="F760" t="s">
        <v>17</v>
      </c>
      <c r="G760" t="str">
        <f>"02"</f>
        <v>02</v>
      </c>
      <c r="H760" t="str">
        <f>"3  "</f>
        <v xml:space="preserve">3  </v>
      </c>
      <c r="I760" t="str">
        <f>"2020/09/02"</f>
        <v>2020/09/02</v>
      </c>
      <c r="J760" t="str">
        <f>"533"</f>
        <v>533</v>
      </c>
      <c r="K760" t="str">
        <f>"20230527"</f>
        <v>20230527</v>
      </c>
      <c r="L760" t="s">
        <v>18</v>
      </c>
      <c r="M760" t="str">
        <f>"20060719"</f>
        <v>20060719</v>
      </c>
    </row>
    <row r="761" spans="1:13" x14ac:dyDescent="0.25">
      <c r="A761" t="str">
        <f>"00756236"</f>
        <v>00756236</v>
      </c>
      <c r="B761" t="s">
        <v>1660</v>
      </c>
      <c r="C761" t="s">
        <v>398</v>
      </c>
      <c r="D761" t="s">
        <v>21</v>
      </c>
      <c r="E761" t="s">
        <v>16</v>
      </c>
      <c r="F761" t="s">
        <v>17</v>
      </c>
      <c r="G761" t="str">
        <f>"02"</f>
        <v>02</v>
      </c>
      <c r="H761" t="str">
        <f>"3  "</f>
        <v xml:space="preserve">3  </v>
      </c>
      <c r="I761" t="str">
        <f>"2018/05/25"</f>
        <v>2018/05/25</v>
      </c>
      <c r="J761" t="str">
        <f>"110"</f>
        <v>110</v>
      </c>
      <c r="K761" t="str">
        <f>"20660502"</f>
        <v>20660502</v>
      </c>
      <c r="L761" t="s">
        <v>18</v>
      </c>
      <c r="M761" t="str">
        <f>"20160426"</f>
        <v>20160426</v>
      </c>
    </row>
    <row r="762" spans="1:13" x14ac:dyDescent="0.25">
      <c r="A762" t="str">
        <f>"00723122"</f>
        <v>00723122</v>
      </c>
      <c r="B762" t="s">
        <v>1660</v>
      </c>
      <c r="C762" t="s">
        <v>164</v>
      </c>
      <c r="D762" t="s">
        <v>25</v>
      </c>
      <c r="E762" t="s">
        <v>16</v>
      </c>
      <c r="F762" t="s">
        <v>17</v>
      </c>
      <c r="G762" t="str">
        <f>"02"</f>
        <v>02</v>
      </c>
      <c r="H762" t="str">
        <f>"3  "</f>
        <v xml:space="preserve">3  </v>
      </c>
      <c r="I762" t="str">
        <f>"2016/12/01"</f>
        <v>2016/12/01</v>
      </c>
      <c r="J762" t="str">
        <f>"510"</f>
        <v>510</v>
      </c>
      <c r="K762" t="str">
        <f>"20210804"</f>
        <v>20210804</v>
      </c>
      <c r="L762" t="s">
        <v>18</v>
      </c>
      <c r="M762" t="str">
        <f>"20150602"</f>
        <v>20150602</v>
      </c>
    </row>
    <row r="763" spans="1:13" x14ac:dyDescent="0.25">
      <c r="A763" t="str">
        <f>"00342448"</f>
        <v>00342448</v>
      </c>
      <c r="B763" t="s">
        <v>1665</v>
      </c>
      <c r="C763" t="s">
        <v>671</v>
      </c>
      <c r="D763" t="s">
        <v>51</v>
      </c>
      <c r="E763" t="s">
        <v>16</v>
      </c>
      <c r="F763" t="s">
        <v>17</v>
      </c>
      <c r="G763" t="str">
        <f>"02"</f>
        <v>02</v>
      </c>
      <c r="H763" t="str">
        <f>"3  "</f>
        <v xml:space="preserve">3  </v>
      </c>
      <c r="I763" t="str">
        <f>"2014/12/17"</f>
        <v>2014/12/17</v>
      </c>
      <c r="J763" t="str">
        <f>"534"</f>
        <v>534</v>
      </c>
      <c r="K763" t="str">
        <f>"20260404"</f>
        <v>20260404</v>
      </c>
      <c r="L763" t="s">
        <v>18</v>
      </c>
      <c r="M763" t="str">
        <f>"20101123"</f>
        <v>20101123</v>
      </c>
    </row>
    <row r="764" spans="1:13" x14ac:dyDescent="0.25">
      <c r="A764" t="str">
        <f>"00885422"</f>
        <v>00885422</v>
      </c>
      <c r="B764" t="s">
        <v>1668</v>
      </c>
      <c r="C764" t="s">
        <v>1669</v>
      </c>
      <c r="D764" t="s">
        <v>16</v>
      </c>
      <c r="E764" t="s">
        <v>26</v>
      </c>
      <c r="F764" t="s">
        <v>17</v>
      </c>
      <c r="G764" t="str">
        <f>"02"</f>
        <v>02</v>
      </c>
      <c r="H764" t="str">
        <f>"3  "</f>
        <v xml:space="preserve">3  </v>
      </c>
      <c r="I764" t="str">
        <f>"2020/01/06"</f>
        <v>2020/01/06</v>
      </c>
      <c r="J764" t="str">
        <f>"503"</f>
        <v>503</v>
      </c>
      <c r="K764" t="str">
        <f>"20280712"</f>
        <v>20280712</v>
      </c>
      <c r="L764" t="s">
        <v>18</v>
      </c>
      <c r="M764" t="str">
        <f>"20180713"</f>
        <v>20180713</v>
      </c>
    </row>
    <row r="765" spans="1:13" x14ac:dyDescent="0.25">
      <c r="A765" t="str">
        <f>"00308207"</f>
        <v>00308207</v>
      </c>
      <c r="B765" t="s">
        <v>1668</v>
      </c>
      <c r="C765" t="s">
        <v>526</v>
      </c>
      <c r="D765" t="s">
        <v>80</v>
      </c>
      <c r="E765" t="s">
        <v>26</v>
      </c>
      <c r="F765" t="s">
        <v>17</v>
      </c>
      <c r="G765" t="str">
        <f>"02"</f>
        <v>02</v>
      </c>
      <c r="H765" t="str">
        <f>"3  "</f>
        <v xml:space="preserve">3  </v>
      </c>
      <c r="I765" t="str">
        <f>"2019/03/15"</f>
        <v>2019/03/15</v>
      </c>
      <c r="J765" t="str">
        <f>"510"</f>
        <v>510</v>
      </c>
      <c r="K765" t="str">
        <f>"20400817"</f>
        <v>20400817</v>
      </c>
      <c r="L765" t="s">
        <v>18</v>
      </c>
      <c r="M765" t="str">
        <f>"20171224"</f>
        <v>20171224</v>
      </c>
    </row>
    <row r="766" spans="1:13" x14ac:dyDescent="0.25">
      <c r="A766" t="str">
        <f>"00373707"</f>
        <v>00373707</v>
      </c>
      <c r="B766" t="s">
        <v>1668</v>
      </c>
      <c r="C766" t="s">
        <v>527</v>
      </c>
      <c r="D766" t="s">
        <v>61</v>
      </c>
      <c r="E766" t="s">
        <v>26</v>
      </c>
      <c r="F766" t="s">
        <v>17</v>
      </c>
      <c r="G766" t="str">
        <f>"02"</f>
        <v>02</v>
      </c>
      <c r="H766" t="str">
        <f>"3  "</f>
        <v xml:space="preserve">3  </v>
      </c>
      <c r="I766" t="str">
        <f>"2013/10/21"</f>
        <v>2013/10/21</v>
      </c>
      <c r="J766" t="str">
        <f>"503"</f>
        <v>503</v>
      </c>
      <c r="K766" t="str">
        <f>"20420909"</f>
        <v>20420909</v>
      </c>
      <c r="L766" t="s">
        <v>18</v>
      </c>
      <c r="M766" t="str">
        <f>"20121121"</f>
        <v>20121121</v>
      </c>
    </row>
    <row r="767" spans="1:13" x14ac:dyDescent="0.25">
      <c r="A767" t="str">
        <f>"00374411"</f>
        <v>00374411</v>
      </c>
      <c r="B767" t="s">
        <v>1670</v>
      </c>
      <c r="C767" t="s">
        <v>44</v>
      </c>
      <c r="D767" t="s">
        <v>37</v>
      </c>
      <c r="E767" t="s">
        <v>16</v>
      </c>
      <c r="F767" t="s">
        <v>17</v>
      </c>
      <c r="G767" t="str">
        <f>"02"</f>
        <v>02</v>
      </c>
      <c r="H767" t="str">
        <f>"3  "</f>
        <v xml:space="preserve">3  </v>
      </c>
      <c r="I767" t="str">
        <f>"2018/01/22"</f>
        <v>2018/01/22</v>
      </c>
      <c r="J767" t="str">
        <f>"510"</f>
        <v>510</v>
      </c>
      <c r="K767" t="str">
        <f>"20610427"</f>
        <v>20610427</v>
      </c>
      <c r="L767" t="s">
        <v>18</v>
      </c>
      <c r="M767" t="str">
        <f>"20160426"</f>
        <v>20160426</v>
      </c>
    </row>
    <row r="768" spans="1:13" x14ac:dyDescent="0.25">
      <c r="A768" t="str">
        <f>"00378814"</f>
        <v>00378814</v>
      </c>
      <c r="B768" t="s">
        <v>1670</v>
      </c>
      <c r="C768" t="s">
        <v>176</v>
      </c>
      <c r="D768" t="s">
        <v>15</v>
      </c>
      <c r="E768" t="s">
        <v>16</v>
      </c>
      <c r="F768" t="s">
        <v>17</v>
      </c>
      <c r="G768" t="str">
        <f>"02"</f>
        <v>02</v>
      </c>
      <c r="H768" t="str">
        <f>"3  "</f>
        <v xml:space="preserve">3  </v>
      </c>
      <c r="I768" t="str">
        <f>"2018/01/22"</f>
        <v>2018/01/22</v>
      </c>
      <c r="J768" t="str">
        <f>"510"</f>
        <v>510</v>
      </c>
      <c r="K768" t="str">
        <f>"20300221"</f>
        <v>20300221</v>
      </c>
      <c r="L768" t="s">
        <v>18</v>
      </c>
      <c r="M768" t="str">
        <f>"20161007"</f>
        <v>20161007</v>
      </c>
    </row>
    <row r="769" spans="1:13" x14ac:dyDescent="0.25">
      <c r="A769" t="str">
        <f>"00178038"</f>
        <v>00178038</v>
      </c>
      <c r="B769" t="s">
        <v>1670</v>
      </c>
      <c r="C769" t="s">
        <v>1671</v>
      </c>
      <c r="D769" t="s">
        <v>45</v>
      </c>
      <c r="E769" t="s">
        <v>16</v>
      </c>
      <c r="F769" t="s">
        <v>17</v>
      </c>
      <c r="G769" t="str">
        <f>"02"</f>
        <v>02</v>
      </c>
      <c r="H769" t="str">
        <f>"6  "</f>
        <v xml:space="preserve">6  </v>
      </c>
      <c r="I769" t="str">
        <f>"2017/12/04"</f>
        <v>2017/12/04</v>
      </c>
      <c r="J769" t="str">
        <f>"320"</f>
        <v>320</v>
      </c>
      <c r="K769" t="s">
        <v>18</v>
      </c>
      <c r="L769" t="str">
        <f>"20181130"</f>
        <v>20181130</v>
      </c>
      <c r="M769" t="str">
        <f>"20170621"</f>
        <v>20170621</v>
      </c>
    </row>
    <row r="770" spans="1:13" x14ac:dyDescent="0.25">
      <c r="A770" t="str">
        <f>"00211789"</f>
        <v>00211789</v>
      </c>
      <c r="B770" t="s">
        <v>1672</v>
      </c>
      <c r="C770" t="s">
        <v>14</v>
      </c>
      <c r="D770" t="s">
        <v>25</v>
      </c>
      <c r="E770" t="s">
        <v>26</v>
      </c>
      <c r="F770" t="s">
        <v>17</v>
      </c>
      <c r="G770" t="str">
        <f>"02"</f>
        <v>02</v>
      </c>
      <c r="H770" t="str">
        <f>"3  "</f>
        <v xml:space="preserve">3  </v>
      </c>
      <c r="I770" t="str">
        <f>"2013/09/10"</f>
        <v>2013/09/10</v>
      </c>
      <c r="J770" t="str">
        <f>"510"</f>
        <v>510</v>
      </c>
      <c r="K770" t="str">
        <f>"20310619"</f>
        <v>20310619</v>
      </c>
      <c r="L770" t="s">
        <v>18</v>
      </c>
      <c r="M770" t="str">
        <f>"20120715"</f>
        <v>20120715</v>
      </c>
    </row>
    <row r="771" spans="1:13" x14ac:dyDescent="0.25">
      <c r="A771" t="str">
        <f>"00692519"</f>
        <v>00692519</v>
      </c>
      <c r="B771" t="s">
        <v>1672</v>
      </c>
      <c r="C771" t="s">
        <v>48</v>
      </c>
      <c r="D771" t="s">
        <v>51</v>
      </c>
      <c r="E771" t="s">
        <v>26</v>
      </c>
      <c r="F771" t="s">
        <v>17</v>
      </c>
      <c r="G771" t="str">
        <f>"02"</f>
        <v>02</v>
      </c>
      <c r="H771" t="str">
        <f>"3  "</f>
        <v xml:space="preserve">3  </v>
      </c>
      <c r="I771" t="str">
        <f>"2019/06/18"</f>
        <v>2019/06/18</v>
      </c>
      <c r="J771" t="str">
        <f>"510"</f>
        <v>510</v>
      </c>
      <c r="K771" t="str">
        <f>"20221213"</f>
        <v>20221213</v>
      </c>
      <c r="L771" t="s">
        <v>18</v>
      </c>
      <c r="M771" t="str">
        <f>"20160111"</f>
        <v>20160111</v>
      </c>
    </row>
    <row r="772" spans="1:13" x14ac:dyDescent="0.25">
      <c r="A772" t="str">
        <f>"00308765"</f>
        <v>00308765</v>
      </c>
      <c r="B772" t="s">
        <v>1672</v>
      </c>
      <c r="C772" t="s">
        <v>772</v>
      </c>
      <c r="D772" t="s">
        <v>25</v>
      </c>
      <c r="E772" t="s">
        <v>16</v>
      </c>
      <c r="F772" t="s">
        <v>17</v>
      </c>
      <c r="G772" t="str">
        <f>"02"</f>
        <v>02</v>
      </c>
      <c r="H772" t="str">
        <f>"3  "</f>
        <v xml:space="preserve">3  </v>
      </c>
      <c r="I772" t="str">
        <f>"2020/01/24"</f>
        <v>2020/01/24</v>
      </c>
      <c r="J772" t="str">
        <f>"510"</f>
        <v>510</v>
      </c>
      <c r="K772" t="str">
        <f>"20230924"</f>
        <v>20230924</v>
      </c>
      <c r="L772" t="s">
        <v>18</v>
      </c>
      <c r="M772" t="str">
        <f>"20151219"</f>
        <v>20151219</v>
      </c>
    </row>
    <row r="773" spans="1:13" x14ac:dyDescent="0.25">
      <c r="A773" t="str">
        <f>"00455684"</f>
        <v>00455684</v>
      </c>
      <c r="B773" t="s">
        <v>1672</v>
      </c>
      <c r="C773" t="s">
        <v>59</v>
      </c>
      <c r="D773" t="s">
        <v>61</v>
      </c>
      <c r="E773" t="s">
        <v>26</v>
      </c>
      <c r="F773" t="s">
        <v>17</v>
      </c>
      <c r="G773" t="str">
        <f>"02"</f>
        <v>02</v>
      </c>
      <c r="H773" t="str">
        <f>"3  "</f>
        <v xml:space="preserve">3  </v>
      </c>
      <c r="I773" t="str">
        <f>"2019/10/14"</f>
        <v>2019/10/14</v>
      </c>
      <c r="J773" t="str">
        <f>"110"</f>
        <v>110</v>
      </c>
      <c r="K773" t="str">
        <f>"20450904"</f>
        <v>20450904</v>
      </c>
      <c r="L773" t="s">
        <v>18</v>
      </c>
      <c r="M773" t="str">
        <f>"20180715"</f>
        <v>20180715</v>
      </c>
    </row>
    <row r="774" spans="1:13" x14ac:dyDescent="0.25">
      <c r="A774" t="str">
        <f>"00169352"</f>
        <v>00169352</v>
      </c>
      <c r="B774" t="s">
        <v>1676</v>
      </c>
      <c r="C774" t="s">
        <v>785</v>
      </c>
      <c r="D774" t="s">
        <v>45</v>
      </c>
      <c r="E774" t="s">
        <v>26</v>
      </c>
      <c r="F774" t="s">
        <v>17</v>
      </c>
      <c r="G774" t="str">
        <f>"02"</f>
        <v>02</v>
      </c>
      <c r="H774" t="str">
        <f>"7  "</f>
        <v xml:space="preserve">7  </v>
      </c>
      <c r="I774" t="str">
        <f>"1986/11/28"</f>
        <v>1986/11/28</v>
      </c>
      <c r="J774" t="str">
        <f>"510"</f>
        <v>510</v>
      </c>
      <c r="K774" t="s">
        <v>18</v>
      </c>
      <c r="L774" t="s">
        <v>18</v>
      </c>
      <c r="M774" t="str">
        <f>"19860402"</f>
        <v>19860402</v>
      </c>
    </row>
    <row r="775" spans="1:13" x14ac:dyDescent="0.25">
      <c r="A775" t="str">
        <f>"00508899"</f>
        <v>00508899</v>
      </c>
      <c r="B775" t="s">
        <v>1676</v>
      </c>
      <c r="C775" t="s">
        <v>1677</v>
      </c>
      <c r="D775" t="s">
        <v>45</v>
      </c>
      <c r="E775" t="s">
        <v>26</v>
      </c>
      <c r="F775" t="s">
        <v>17</v>
      </c>
      <c r="G775" t="str">
        <f>"02"</f>
        <v>02</v>
      </c>
      <c r="H775" t="str">
        <f>"3  "</f>
        <v xml:space="preserve">3  </v>
      </c>
      <c r="I775" t="str">
        <f>"2020/08/18"</f>
        <v>2020/08/18</v>
      </c>
      <c r="J775" t="str">
        <f>"510"</f>
        <v>510</v>
      </c>
      <c r="K775" t="str">
        <f>"20260717"</f>
        <v>20260717</v>
      </c>
      <c r="L775" t="s">
        <v>18</v>
      </c>
      <c r="M775" t="str">
        <f>"20190426"</f>
        <v>20190426</v>
      </c>
    </row>
    <row r="776" spans="1:13" x14ac:dyDescent="0.25">
      <c r="A776" t="str">
        <f>"00229027"</f>
        <v>00229027</v>
      </c>
      <c r="B776" t="s">
        <v>1678</v>
      </c>
      <c r="C776" t="s">
        <v>827</v>
      </c>
      <c r="D776" t="s">
        <v>61</v>
      </c>
      <c r="E776" t="s">
        <v>26</v>
      </c>
      <c r="F776" t="s">
        <v>17</v>
      </c>
      <c r="G776" t="str">
        <f>"02"</f>
        <v>02</v>
      </c>
      <c r="H776" t="str">
        <f>"7  "</f>
        <v xml:space="preserve">7  </v>
      </c>
      <c r="I776" t="str">
        <f>"1993/11/08"</f>
        <v>1993/11/08</v>
      </c>
      <c r="J776" t="str">
        <f>"510"</f>
        <v>510</v>
      </c>
      <c r="K776" t="s">
        <v>18</v>
      </c>
      <c r="L776" t="s">
        <v>18</v>
      </c>
      <c r="M776" t="str">
        <f>"19921023"</f>
        <v>19921023</v>
      </c>
    </row>
    <row r="777" spans="1:13" x14ac:dyDescent="0.25">
      <c r="A777" t="str">
        <f>"00599634"</f>
        <v>00599634</v>
      </c>
      <c r="B777" t="s">
        <v>1686</v>
      </c>
      <c r="C777" t="s">
        <v>677</v>
      </c>
      <c r="D777" t="s">
        <v>25</v>
      </c>
      <c r="E777" t="s">
        <v>26</v>
      </c>
      <c r="F777" t="s">
        <v>17</v>
      </c>
      <c r="G777" t="str">
        <f>"02"</f>
        <v>02</v>
      </c>
      <c r="H777" t="str">
        <f>"3  "</f>
        <v xml:space="preserve">3  </v>
      </c>
      <c r="I777" t="str">
        <f>"2020/09/16"</f>
        <v>2020/09/16</v>
      </c>
      <c r="J777" t="str">
        <f>"533"</f>
        <v>533</v>
      </c>
      <c r="K777" t="str">
        <f>"20370129"</f>
        <v>20370129</v>
      </c>
      <c r="L777" t="s">
        <v>18</v>
      </c>
      <c r="M777" t="str">
        <f>"20090820"</f>
        <v>20090820</v>
      </c>
    </row>
    <row r="778" spans="1:13" x14ac:dyDescent="0.25">
      <c r="A778" t="str">
        <f>"00489612"</f>
        <v>00489612</v>
      </c>
      <c r="B778" t="s">
        <v>1691</v>
      </c>
      <c r="C778" t="s">
        <v>754</v>
      </c>
      <c r="D778" t="s">
        <v>182</v>
      </c>
      <c r="E778" t="s">
        <v>26</v>
      </c>
      <c r="F778" t="s">
        <v>17</v>
      </c>
      <c r="G778" t="str">
        <f>"02"</f>
        <v>02</v>
      </c>
      <c r="H778" t="str">
        <f>"7  "</f>
        <v xml:space="preserve">7  </v>
      </c>
      <c r="I778" t="str">
        <f>"2014/06/18"</f>
        <v>2014/06/18</v>
      </c>
      <c r="J778" t="str">
        <f>"510"</f>
        <v>510</v>
      </c>
      <c r="K778" t="s">
        <v>18</v>
      </c>
      <c r="L778" t="s">
        <v>18</v>
      </c>
      <c r="M778" t="str">
        <f>"20130204"</f>
        <v>20130204</v>
      </c>
    </row>
    <row r="779" spans="1:13" x14ac:dyDescent="0.25">
      <c r="A779" t="str">
        <f>"00067775"</f>
        <v>00067775</v>
      </c>
      <c r="B779" t="s">
        <v>1691</v>
      </c>
      <c r="C779" t="s">
        <v>246</v>
      </c>
      <c r="D779" t="s">
        <v>16</v>
      </c>
      <c r="E779" t="s">
        <v>26</v>
      </c>
      <c r="F779" t="s">
        <v>17</v>
      </c>
      <c r="G779" t="str">
        <f>"02"</f>
        <v>02</v>
      </c>
      <c r="H779" t="str">
        <f>"7  "</f>
        <v xml:space="preserve">7  </v>
      </c>
      <c r="I779" t="str">
        <f>"1983/05/27"</f>
        <v>1983/05/27</v>
      </c>
      <c r="J779" t="str">
        <f>"503"</f>
        <v>503</v>
      </c>
      <c r="K779" t="s">
        <v>18</v>
      </c>
      <c r="L779" t="s">
        <v>18</v>
      </c>
      <c r="M779" t="str">
        <f>"19770923"</f>
        <v>19770923</v>
      </c>
    </row>
    <row r="780" spans="1:13" x14ac:dyDescent="0.25">
      <c r="A780" t="str">
        <f>"00438198"</f>
        <v>00438198</v>
      </c>
      <c r="B780" t="s">
        <v>1695</v>
      </c>
      <c r="C780" t="s">
        <v>1028</v>
      </c>
      <c r="D780" t="s">
        <v>51</v>
      </c>
      <c r="E780" t="s">
        <v>26</v>
      </c>
      <c r="F780" t="s">
        <v>17</v>
      </c>
      <c r="G780" t="str">
        <f>"02"</f>
        <v>02</v>
      </c>
      <c r="H780" t="str">
        <f>"3  "</f>
        <v xml:space="preserve">3  </v>
      </c>
      <c r="I780" t="str">
        <f>"2020/03/06"</f>
        <v>2020/03/06</v>
      </c>
      <c r="J780" t="str">
        <f>"510"</f>
        <v>510</v>
      </c>
      <c r="K780" t="str">
        <f>"20320108"</f>
        <v>20320108</v>
      </c>
      <c r="L780" t="s">
        <v>18</v>
      </c>
      <c r="M780" t="str">
        <f>"20180901"</f>
        <v>20180901</v>
      </c>
    </row>
    <row r="781" spans="1:13" x14ac:dyDescent="0.25">
      <c r="A781" t="str">
        <f>"00493522"</f>
        <v>00493522</v>
      </c>
      <c r="B781" t="s">
        <v>1695</v>
      </c>
      <c r="C781" t="s">
        <v>320</v>
      </c>
      <c r="D781" t="s">
        <v>113</v>
      </c>
      <c r="E781" t="s">
        <v>26</v>
      </c>
      <c r="F781" t="s">
        <v>17</v>
      </c>
      <c r="G781" t="str">
        <f>"02"</f>
        <v>02</v>
      </c>
      <c r="H781" t="str">
        <f>"3  "</f>
        <v xml:space="preserve">3  </v>
      </c>
      <c r="I781" t="str">
        <f>"2019/09/27"</f>
        <v>2019/09/27</v>
      </c>
      <c r="J781" t="str">
        <f>"510"</f>
        <v>510</v>
      </c>
      <c r="K781" t="str">
        <f>"20250708"</f>
        <v>20250708</v>
      </c>
      <c r="L781" t="s">
        <v>18</v>
      </c>
      <c r="M781" t="str">
        <f>"20160622"</f>
        <v>20160622</v>
      </c>
    </row>
    <row r="782" spans="1:13" x14ac:dyDescent="0.25">
      <c r="A782" t="str">
        <f>"00121905"</f>
        <v>00121905</v>
      </c>
      <c r="B782" t="s">
        <v>1695</v>
      </c>
      <c r="C782" t="s">
        <v>1698</v>
      </c>
      <c r="D782" t="s">
        <v>51</v>
      </c>
      <c r="E782" t="s">
        <v>26</v>
      </c>
      <c r="F782" t="s">
        <v>17</v>
      </c>
      <c r="G782" t="str">
        <f>"02"</f>
        <v>02</v>
      </c>
      <c r="H782" t="str">
        <f>"3  "</f>
        <v xml:space="preserve">3  </v>
      </c>
      <c r="I782" t="str">
        <f>"1998/06/16"</f>
        <v>1998/06/16</v>
      </c>
      <c r="J782" t="str">
        <f>"502"</f>
        <v>502</v>
      </c>
      <c r="K782" t="str">
        <f>"20230806"</f>
        <v>20230806</v>
      </c>
      <c r="L782" t="s">
        <v>18</v>
      </c>
      <c r="M782" t="str">
        <f>"19850718"</f>
        <v>19850718</v>
      </c>
    </row>
    <row r="783" spans="1:13" x14ac:dyDescent="0.25">
      <c r="A783" t="str">
        <f>"00508528"</f>
        <v>00508528</v>
      </c>
      <c r="B783" t="s">
        <v>1699</v>
      </c>
      <c r="C783" t="s">
        <v>1700</v>
      </c>
      <c r="D783" t="s">
        <v>53</v>
      </c>
      <c r="E783" t="s">
        <v>16</v>
      </c>
      <c r="F783" t="s">
        <v>17</v>
      </c>
      <c r="G783" t="str">
        <f>"02"</f>
        <v>02</v>
      </c>
      <c r="H783" t="str">
        <f>"3  "</f>
        <v xml:space="preserve">3  </v>
      </c>
      <c r="I783" t="str">
        <f>"2019/08/23"</f>
        <v>2019/08/23</v>
      </c>
      <c r="J783" t="str">
        <f>"510"</f>
        <v>510</v>
      </c>
      <c r="K783" t="str">
        <f>"20211106"</f>
        <v>20211106</v>
      </c>
      <c r="L783" t="s">
        <v>18</v>
      </c>
      <c r="M783" t="str">
        <f>"20170531"</f>
        <v>20170531</v>
      </c>
    </row>
    <row r="784" spans="1:13" x14ac:dyDescent="0.25">
      <c r="A784" t="str">
        <f>"00499310"</f>
        <v>00499310</v>
      </c>
      <c r="B784" t="s">
        <v>1699</v>
      </c>
      <c r="C784" t="s">
        <v>122</v>
      </c>
      <c r="D784" t="s">
        <v>51</v>
      </c>
      <c r="E784" t="s">
        <v>26</v>
      </c>
      <c r="F784" t="s">
        <v>17</v>
      </c>
      <c r="G784" t="str">
        <f>"02"</f>
        <v>02</v>
      </c>
      <c r="H784" t="str">
        <f>"3  "</f>
        <v xml:space="preserve">3  </v>
      </c>
      <c r="I784" t="str">
        <f>"2015/03/04"</f>
        <v>2015/03/04</v>
      </c>
      <c r="J784" t="str">
        <f>"510"</f>
        <v>510</v>
      </c>
      <c r="K784" t="str">
        <f>"20210529"</f>
        <v>20210529</v>
      </c>
      <c r="L784" t="s">
        <v>18</v>
      </c>
      <c r="M784" t="str">
        <f>"20130820"</f>
        <v>20130820</v>
      </c>
    </row>
    <row r="785" spans="1:13" x14ac:dyDescent="0.25">
      <c r="A785" t="str">
        <f>"00518397"</f>
        <v>00518397</v>
      </c>
      <c r="B785" t="s">
        <v>1699</v>
      </c>
      <c r="C785" t="s">
        <v>1701</v>
      </c>
      <c r="D785" t="s">
        <v>15</v>
      </c>
      <c r="E785" t="s">
        <v>26</v>
      </c>
      <c r="F785" t="s">
        <v>17</v>
      </c>
      <c r="G785" t="str">
        <f>"02"</f>
        <v>02</v>
      </c>
      <c r="H785" t="str">
        <f>"3  "</f>
        <v xml:space="preserve">3  </v>
      </c>
      <c r="I785" t="str">
        <f>"2018/04/10"</f>
        <v>2018/04/10</v>
      </c>
      <c r="J785" t="str">
        <f>"110"</f>
        <v>110</v>
      </c>
      <c r="K785" t="str">
        <f>"20351018"</f>
        <v>20351018</v>
      </c>
      <c r="L785" t="s">
        <v>18</v>
      </c>
      <c r="M785" t="str">
        <f>"20170712"</f>
        <v>20170712</v>
      </c>
    </row>
    <row r="786" spans="1:13" x14ac:dyDescent="0.25">
      <c r="A786" t="str">
        <f>"00738530"</f>
        <v>00738530</v>
      </c>
      <c r="B786" t="s">
        <v>1702</v>
      </c>
      <c r="C786" t="s">
        <v>1703</v>
      </c>
      <c r="D786" t="s">
        <v>25</v>
      </c>
      <c r="E786" t="s">
        <v>16</v>
      </c>
      <c r="F786" t="s">
        <v>17</v>
      </c>
      <c r="G786" t="str">
        <f>"02"</f>
        <v>02</v>
      </c>
      <c r="H786" t="str">
        <f>"3  "</f>
        <v xml:space="preserve">3  </v>
      </c>
      <c r="I786" t="str">
        <f>"2015/08/18"</f>
        <v>2015/08/18</v>
      </c>
      <c r="J786" t="str">
        <f>"510"</f>
        <v>510</v>
      </c>
      <c r="K786" t="str">
        <f>"20351009"</f>
        <v>20351009</v>
      </c>
      <c r="L786" t="s">
        <v>18</v>
      </c>
      <c r="M786" t="str">
        <f>"20150612"</f>
        <v>20150612</v>
      </c>
    </row>
    <row r="787" spans="1:13" x14ac:dyDescent="0.25">
      <c r="A787" t="str">
        <f>"00368319"</f>
        <v>00368319</v>
      </c>
      <c r="B787" t="s">
        <v>1704</v>
      </c>
      <c r="C787" t="s">
        <v>426</v>
      </c>
      <c r="D787" t="s">
        <v>40</v>
      </c>
      <c r="E787" t="s">
        <v>26</v>
      </c>
      <c r="F787" t="s">
        <v>17</v>
      </c>
      <c r="G787" t="str">
        <f>"02"</f>
        <v>02</v>
      </c>
      <c r="H787" t="str">
        <f>"3  "</f>
        <v xml:space="preserve">3  </v>
      </c>
      <c r="I787" t="str">
        <f>"2018/06/13"</f>
        <v>2018/06/13</v>
      </c>
      <c r="J787" t="str">
        <f>"110"</f>
        <v>110</v>
      </c>
      <c r="K787" t="str">
        <f>"20230715"</f>
        <v>20230715</v>
      </c>
      <c r="L787" t="s">
        <v>18</v>
      </c>
      <c r="M787" t="str">
        <f>"20180321"</f>
        <v>20180321</v>
      </c>
    </row>
    <row r="788" spans="1:13" x14ac:dyDescent="0.25">
      <c r="A788" t="str">
        <f>"00258935"</f>
        <v>00258935</v>
      </c>
      <c r="B788" t="s">
        <v>1709</v>
      </c>
      <c r="C788" t="s">
        <v>48</v>
      </c>
      <c r="D788" t="s">
        <v>45</v>
      </c>
      <c r="E788" t="s">
        <v>16</v>
      </c>
      <c r="F788" t="s">
        <v>17</v>
      </c>
      <c r="G788" t="str">
        <f>"02"</f>
        <v>02</v>
      </c>
      <c r="H788" t="str">
        <f>"3  "</f>
        <v xml:space="preserve">3  </v>
      </c>
      <c r="I788" t="str">
        <f>"2018/10/05"</f>
        <v>2018/10/05</v>
      </c>
      <c r="J788" t="str">
        <f>"510"</f>
        <v>510</v>
      </c>
      <c r="K788" t="str">
        <f>"20210923"</f>
        <v>20210923</v>
      </c>
      <c r="L788" t="s">
        <v>18</v>
      </c>
      <c r="M788" t="str">
        <f>"20131219"</f>
        <v>20131219</v>
      </c>
    </row>
    <row r="789" spans="1:13" x14ac:dyDescent="0.25">
      <c r="A789" t="str">
        <f>"00377480"</f>
        <v>00377480</v>
      </c>
      <c r="B789" t="s">
        <v>1711</v>
      </c>
      <c r="C789" t="s">
        <v>96</v>
      </c>
      <c r="D789" t="s">
        <v>16</v>
      </c>
      <c r="E789" t="s">
        <v>26</v>
      </c>
      <c r="F789" t="s">
        <v>17</v>
      </c>
      <c r="G789" t="str">
        <f>"02"</f>
        <v>02</v>
      </c>
      <c r="H789" t="str">
        <f>"4  "</f>
        <v xml:space="preserve">4  </v>
      </c>
      <c r="I789" t="str">
        <f>"2001/06/15"</f>
        <v>2001/06/15</v>
      </c>
      <c r="J789" t="str">
        <f>"502"</f>
        <v>502</v>
      </c>
      <c r="K789" t="str">
        <f>"20250420"</f>
        <v>20250420</v>
      </c>
      <c r="L789" t="s">
        <v>18</v>
      </c>
      <c r="M789" t="str">
        <f>"19990113"</f>
        <v>19990113</v>
      </c>
    </row>
    <row r="790" spans="1:13" x14ac:dyDescent="0.25">
      <c r="A790" t="str">
        <f>"00716234"</f>
        <v>00716234</v>
      </c>
      <c r="B790" t="s">
        <v>1711</v>
      </c>
      <c r="C790" t="s">
        <v>1712</v>
      </c>
      <c r="D790" t="s">
        <v>26</v>
      </c>
      <c r="E790" t="s">
        <v>26</v>
      </c>
      <c r="F790" t="s">
        <v>17</v>
      </c>
      <c r="G790" t="str">
        <f>"02"</f>
        <v>02</v>
      </c>
      <c r="H790" t="str">
        <f>"3  "</f>
        <v xml:space="preserve">3  </v>
      </c>
      <c r="I790" t="str">
        <f>"2015/01/09"</f>
        <v>2015/01/09</v>
      </c>
      <c r="J790" t="str">
        <f>"510"</f>
        <v>510</v>
      </c>
      <c r="K790" t="str">
        <f>"20230713"</f>
        <v>20230713</v>
      </c>
      <c r="L790" t="s">
        <v>18</v>
      </c>
      <c r="M790" t="str">
        <f>"20120531"</f>
        <v>20120531</v>
      </c>
    </row>
    <row r="791" spans="1:13" x14ac:dyDescent="0.25">
      <c r="A791" t="str">
        <f>"00260849"</f>
        <v>00260849</v>
      </c>
      <c r="B791" t="s">
        <v>1714</v>
      </c>
      <c r="C791" t="s">
        <v>118</v>
      </c>
      <c r="D791" t="s">
        <v>16</v>
      </c>
      <c r="E791" t="s">
        <v>16</v>
      </c>
      <c r="F791" t="s">
        <v>17</v>
      </c>
      <c r="G791" t="str">
        <f>"02"</f>
        <v>02</v>
      </c>
      <c r="H791" t="str">
        <f>"3  "</f>
        <v xml:space="preserve">3  </v>
      </c>
      <c r="I791" t="str">
        <f>"2014/10/21"</f>
        <v>2014/10/21</v>
      </c>
      <c r="J791" t="str">
        <f>"510"</f>
        <v>510</v>
      </c>
      <c r="K791" t="str">
        <f>"20261121"</f>
        <v>20261121</v>
      </c>
      <c r="L791" t="s">
        <v>18</v>
      </c>
      <c r="M791" t="str">
        <f>"20130702"</f>
        <v>20130702</v>
      </c>
    </row>
    <row r="792" spans="1:13" x14ac:dyDescent="0.25">
      <c r="A792" t="str">
        <f>"00308924"</f>
        <v>00308924</v>
      </c>
      <c r="B792" t="s">
        <v>1714</v>
      </c>
      <c r="C792" t="s">
        <v>1716</v>
      </c>
      <c r="D792" t="s">
        <v>25</v>
      </c>
      <c r="E792" t="s">
        <v>26</v>
      </c>
      <c r="F792" t="s">
        <v>17</v>
      </c>
      <c r="G792" t="str">
        <f>"02"</f>
        <v>02</v>
      </c>
      <c r="H792" t="str">
        <f>"3  "</f>
        <v xml:space="preserve">3  </v>
      </c>
      <c r="I792" t="str">
        <f>"2013/09/11"</f>
        <v>2013/09/11</v>
      </c>
      <c r="J792" t="str">
        <f>"510"</f>
        <v>510</v>
      </c>
      <c r="K792" t="str">
        <f>"20240915"</f>
        <v>20240915</v>
      </c>
      <c r="L792" t="s">
        <v>18</v>
      </c>
      <c r="M792" t="str">
        <f>"20120327"</f>
        <v>20120327</v>
      </c>
    </row>
    <row r="793" spans="1:13" x14ac:dyDescent="0.25">
      <c r="A793" t="str">
        <f>"00755115"</f>
        <v>00755115</v>
      </c>
      <c r="B793" t="s">
        <v>1717</v>
      </c>
      <c r="C793" t="s">
        <v>687</v>
      </c>
      <c r="D793" t="s">
        <v>51</v>
      </c>
      <c r="E793" t="s">
        <v>26</v>
      </c>
      <c r="F793" t="s">
        <v>17</v>
      </c>
      <c r="G793" t="str">
        <f>"02"</f>
        <v>02</v>
      </c>
      <c r="H793" t="str">
        <f>"3  "</f>
        <v xml:space="preserve">3  </v>
      </c>
      <c r="I793" t="str">
        <f>"2019/04/05"</f>
        <v>2019/04/05</v>
      </c>
      <c r="J793" t="str">
        <f>"510"</f>
        <v>510</v>
      </c>
      <c r="K793" t="str">
        <f>"20231220"</f>
        <v>20231220</v>
      </c>
      <c r="L793" t="s">
        <v>18</v>
      </c>
      <c r="M793" t="str">
        <f>"20160427"</f>
        <v>20160427</v>
      </c>
    </row>
    <row r="794" spans="1:13" x14ac:dyDescent="0.25">
      <c r="A794" t="str">
        <f>"00638481"</f>
        <v>00638481</v>
      </c>
      <c r="B794" t="s">
        <v>1717</v>
      </c>
      <c r="C794" t="s">
        <v>213</v>
      </c>
      <c r="D794" t="s">
        <v>113</v>
      </c>
      <c r="E794" t="s">
        <v>26</v>
      </c>
      <c r="F794" t="s">
        <v>17</v>
      </c>
      <c r="G794" t="str">
        <f>"02"</f>
        <v>02</v>
      </c>
      <c r="H794" t="str">
        <f>"3  "</f>
        <v xml:space="preserve">3  </v>
      </c>
      <c r="I794" t="str">
        <f>"2013/03/21"</f>
        <v>2013/03/21</v>
      </c>
      <c r="J794" t="str">
        <f>"110"</f>
        <v>110</v>
      </c>
      <c r="K794" t="str">
        <f>"20590620"</f>
        <v>20590620</v>
      </c>
      <c r="L794" t="s">
        <v>18</v>
      </c>
      <c r="M794" t="str">
        <f>"20111129"</f>
        <v>20111129</v>
      </c>
    </row>
    <row r="795" spans="1:13" x14ac:dyDescent="0.25">
      <c r="A795" t="str">
        <f>"00426298"</f>
        <v>00426298</v>
      </c>
      <c r="B795" t="s">
        <v>1717</v>
      </c>
      <c r="C795" t="s">
        <v>666</v>
      </c>
      <c r="D795" t="s">
        <v>97</v>
      </c>
      <c r="E795" t="s">
        <v>16</v>
      </c>
      <c r="F795" t="s">
        <v>17</v>
      </c>
      <c r="G795" t="str">
        <f>"02"</f>
        <v>02</v>
      </c>
      <c r="H795" t="str">
        <f>"3  "</f>
        <v xml:space="preserve">3  </v>
      </c>
      <c r="I795" t="str">
        <f>"2012/10/15"</f>
        <v>2012/10/15</v>
      </c>
      <c r="J795" t="str">
        <f>"510"</f>
        <v>510</v>
      </c>
      <c r="K795" t="str">
        <f>"20510821"</f>
        <v>20510821</v>
      </c>
      <c r="L795" t="s">
        <v>18</v>
      </c>
      <c r="M795" t="str">
        <f>"20110304"</f>
        <v>20110304</v>
      </c>
    </row>
    <row r="796" spans="1:13" x14ac:dyDescent="0.25">
      <c r="A796" t="str">
        <f>"00351989"</f>
        <v>00351989</v>
      </c>
      <c r="B796" t="s">
        <v>1717</v>
      </c>
      <c r="C796" t="s">
        <v>1720</v>
      </c>
      <c r="D796" t="s">
        <v>15</v>
      </c>
      <c r="E796" t="s">
        <v>26</v>
      </c>
      <c r="F796" t="s">
        <v>17</v>
      </c>
      <c r="G796" t="str">
        <f>"02"</f>
        <v>02</v>
      </c>
      <c r="H796" t="str">
        <f>"3  "</f>
        <v xml:space="preserve">3  </v>
      </c>
      <c r="I796" t="str">
        <f>"2018/09/04"</f>
        <v>2018/09/04</v>
      </c>
      <c r="J796" t="str">
        <f>"510"</f>
        <v>510</v>
      </c>
      <c r="K796" t="str">
        <f>"20970819"</f>
        <v>20970819</v>
      </c>
      <c r="L796" t="s">
        <v>18</v>
      </c>
      <c r="M796" t="str">
        <f>"20160904"</f>
        <v>20160904</v>
      </c>
    </row>
    <row r="797" spans="1:13" x14ac:dyDescent="0.25">
      <c r="A797" t="str">
        <f>"00132326"</f>
        <v>00132326</v>
      </c>
      <c r="B797" t="s">
        <v>1721</v>
      </c>
      <c r="C797" t="s">
        <v>118</v>
      </c>
      <c r="D797" t="s">
        <v>91</v>
      </c>
      <c r="E797" t="s">
        <v>16</v>
      </c>
      <c r="F797" t="s">
        <v>17</v>
      </c>
      <c r="G797" t="str">
        <f>"02"</f>
        <v>02</v>
      </c>
      <c r="H797" t="str">
        <f>"7  "</f>
        <v xml:space="preserve">7  </v>
      </c>
      <c r="I797" t="str">
        <f>"2001/01/24"</f>
        <v>2001/01/24</v>
      </c>
      <c r="J797" t="str">
        <f>"533"</f>
        <v>533</v>
      </c>
      <c r="K797" t="s">
        <v>18</v>
      </c>
      <c r="L797" t="str">
        <f>"20150501"</f>
        <v>20150501</v>
      </c>
      <c r="M797" t="str">
        <f>"19770706"</f>
        <v>19770706</v>
      </c>
    </row>
    <row r="798" spans="1:13" x14ac:dyDescent="0.25">
      <c r="A798" t="str">
        <f>"00278878"</f>
        <v>00278878</v>
      </c>
      <c r="B798" t="s">
        <v>1727</v>
      </c>
      <c r="C798" t="s">
        <v>358</v>
      </c>
      <c r="D798" t="s">
        <v>26</v>
      </c>
      <c r="E798" t="s">
        <v>16</v>
      </c>
      <c r="F798" t="s">
        <v>17</v>
      </c>
      <c r="G798" t="str">
        <f>"02"</f>
        <v>02</v>
      </c>
      <c r="H798" t="str">
        <f>"3  "</f>
        <v xml:space="preserve">3  </v>
      </c>
      <c r="I798" t="str">
        <f>"2017/07/28"</f>
        <v>2017/07/28</v>
      </c>
      <c r="J798" t="str">
        <f>"510"</f>
        <v>510</v>
      </c>
      <c r="K798" t="str">
        <f>"20270129"</f>
        <v>20270129</v>
      </c>
      <c r="L798" t="s">
        <v>18</v>
      </c>
      <c r="M798" t="str">
        <f>"20140915"</f>
        <v>20140915</v>
      </c>
    </row>
    <row r="799" spans="1:13" x14ac:dyDescent="0.25">
      <c r="A799" t="str">
        <f>"00239576"</f>
        <v>00239576</v>
      </c>
      <c r="B799" t="s">
        <v>1728</v>
      </c>
      <c r="C799" t="s">
        <v>437</v>
      </c>
      <c r="D799" t="s">
        <v>215</v>
      </c>
      <c r="E799" t="s">
        <v>26</v>
      </c>
      <c r="F799" t="s">
        <v>17</v>
      </c>
      <c r="G799" t="str">
        <f>"02"</f>
        <v>02</v>
      </c>
      <c r="H799" t="str">
        <f>"3  "</f>
        <v xml:space="preserve">3  </v>
      </c>
      <c r="I799" t="str">
        <f>"2020/07/21"</f>
        <v>2020/07/21</v>
      </c>
      <c r="J799" t="str">
        <f>"533"</f>
        <v>533</v>
      </c>
      <c r="K799" t="str">
        <f>"20270130"</f>
        <v>20270130</v>
      </c>
      <c r="L799" t="s">
        <v>18</v>
      </c>
      <c r="M799" t="str">
        <f>"20100614"</f>
        <v>20100614</v>
      </c>
    </row>
    <row r="800" spans="1:13" x14ac:dyDescent="0.25">
      <c r="A800" t="str">
        <f>"00205934"</f>
        <v>00205934</v>
      </c>
      <c r="B800" t="s">
        <v>1729</v>
      </c>
      <c r="C800" t="s">
        <v>624</v>
      </c>
      <c r="D800" t="s">
        <v>53</v>
      </c>
      <c r="E800" t="s">
        <v>26</v>
      </c>
      <c r="F800" t="s">
        <v>17</v>
      </c>
      <c r="G800" t="str">
        <f>"02"</f>
        <v>02</v>
      </c>
      <c r="H800" t="str">
        <f>"3  "</f>
        <v xml:space="preserve">3  </v>
      </c>
      <c r="I800" t="str">
        <f>"2017/11/06"</f>
        <v>2017/11/06</v>
      </c>
      <c r="J800" t="str">
        <f>"110"</f>
        <v>110</v>
      </c>
      <c r="K800" t="str">
        <f>"20230312"</f>
        <v>20230312</v>
      </c>
      <c r="L800" t="s">
        <v>18</v>
      </c>
      <c r="M800" t="str">
        <f>"20171023"</f>
        <v>20171023</v>
      </c>
    </row>
    <row r="801" spans="1:13" x14ac:dyDescent="0.25">
      <c r="A801" t="str">
        <f>"00149488"</f>
        <v>00149488</v>
      </c>
      <c r="B801" t="s">
        <v>1747</v>
      </c>
      <c r="C801" t="s">
        <v>22</v>
      </c>
      <c r="D801" t="s">
        <v>45</v>
      </c>
      <c r="E801" t="s">
        <v>26</v>
      </c>
      <c r="F801" t="s">
        <v>17</v>
      </c>
      <c r="G801" t="str">
        <f>"02"</f>
        <v>02</v>
      </c>
      <c r="H801" t="str">
        <f>"7  "</f>
        <v xml:space="preserve">7  </v>
      </c>
      <c r="I801" t="str">
        <f>"2001/01/03"</f>
        <v>2001/01/03</v>
      </c>
      <c r="J801" t="str">
        <f>"533"</f>
        <v>533</v>
      </c>
      <c r="K801" t="s">
        <v>18</v>
      </c>
      <c r="L801" t="s">
        <v>18</v>
      </c>
      <c r="M801" t="str">
        <f>"19851017"</f>
        <v>19851017</v>
      </c>
    </row>
    <row r="802" spans="1:13" x14ac:dyDescent="0.25">
      <c r="A802" t="str">
        <f>"00181649"</f>
        <v>00181649</v>
      </c>
      <c r="B802" t="s">
        <v>1752</v>
      </c>
      <c r="C802" t="s">
        <v>1753</v>
      </c>
      <c r="D802" t="s">
        <v>15</v>
      </c>
      <c r="E802" t="s">
        <v>26</v>
      </c>
      <c r="F802" t="s">
        <v>17</v>
      </c>
      <c r="G802" t="str">
        <f>"02"</f>
        <v>02</v>
      </c>
      <c r="H802" t="str">
        <f>"7  "</f>
        <v xml:space="preserve">7  </v>
      </c>
      <c r="I802" t="str">
        <f>"1998/06/16"</f>
        <v>1998/06/16</v>
      </c>
      <c r="J802" t="str">
        <f>"510"</f>
        <v>510</v>
      </c>
      <c r="K802" t="s">
        <v>18</v>
      </c>
      <c r="L802" t="s">
        <v>18</v>
      </c>
      <c r="M802" t="str">
        <f>"19960802"</f>
        <v>19960802</v>
      </c>
    </row>
    <row r="803" spans="1:13" x14ac:dyDescent="0.25">
      <c r="A803" t="str">
        <f>"00380704"</f>
        <v>00380704</v>
      </c>
      <c r="B803" t="s">
        <v>1752</v>
      </c>
      <c r="C803" t="s">
        <v>444</v>
      </c>
      <c r="D803" t="s">
        <v>25</v>
      </c>
      <c r="E803" t="s">
        <v>26</v>
      </c>
      <c r="F803" t="s">
        <v>17</v>
      </c>
      <c r="G803" t="str">
        <f>"02"</f>
        <v>02</v>
      </c>
      <c r="H803" t="str">
        <f>"3  "</f>
        <v xml:space="preserve">3  </v>
      </c>
      <c r="I803" t="str">
        <f>"2004/02/27"</f>
        <v>2004/02/27</v>
      </c>
      <c r="J803" t="str">
        <f>"503"</f>
        <v>503</v>
      </c>
      <c r="K803" t="str">
        <f>"20210402"</f>
        <v>20210402</v>
      </c>
      <c r="L803" t="s">
        <v>18</v>
      </c>
      <c r="M803" t="str">
        <f>"20030403"</f>
        <v>20030403</v>
      </c>
    </row>
    <row r="804" spans="1:13" x14ac:dyDescent="0.25">
      <c r="A804" t="str">
        <f>"00559530"</f>
        <v>00559530</v>
      </c>
      <c r="B804" t="s">
        <v>1755</v>
      </c>
      <c r="C804" t="s">
        <v>169</v>
      </c>
      <c r="D804" t="s">
        <v>61</v>
      </c>
      <c r="E804" t="s">
        <v>16</v>
      </c>
      <c r="F804" t="s">
        <v>17</v>
      </c>
      <c r="G804" t="str">
        <f>"02"</f>
        <v>02</v>
      </c>
      <c r="H804" t="str">
        <f>"3  "</f>
        <v xml:space="preserve">3  </v>
      </c>
      <c r="I804" t="str">
        <f>"2010/11/03"</f>
        <v>2010/11/03</v>
      </c>
      <c r="J804" t="str">
        <f>"110"</f>
        <v>110</v>
      </c>
      <c r="K804" t="str">
        <f>"20261018"</f>
        <v>20261018</v>
      </c>
      <c r="L804" t="s">
        <v>18</v>
      </c>
      <c r="M804" t="str">
        <f>"20100927"</f>
        <v>20100927</v>
      </c>
    </row>
    <row r="805" spans="1:13" x14ac:dyDescent="0.25">
      <c r="A805" t="str">
        <f>"00208698"</f>
        <v>00208698</v>
      </c>
      <c r="B805" t="s">
        <v>1756</v>
      </c>
      <c r="C805" t="s">
        <v>647</v>
      </c>
      <c r="D805" t="s">
        <v>51</v>
      </c>
      <c r="E805" t="s">
        <v>26</v>
      </c>
      <c r="F805" t="s">
        <v>17</v>
      </c>
      <c r="G805" t="str">
        <f>"02"</f>
        <v>02</v>
      </c>
      <c r="H805" t="str">
        <f>"3  "</f>
        <v xml:space="preserve">3  </v>
      </c>
      <c r="I805" t="str">
        <f>"2018/02/23"</f>
        <v>2018/02/23</v>
      </c>
      <c r="J805" t="str">
        <f>"503"</f>
        <v>503</v>
      </c>
      <c r="K805" t="str">
        <f>"20210821"</f>
        <v>20210821</v>
      </c>
      <c r="L805" t="s">
        <v>18</v>
      </c>
      <c r="M805" t="str">
        <f>"20110719"</f>
        <v>20110719</v>
      </c>
    </row>
    <row r="806" spans="1:13" x14ac:dyDescent="0.25">
      <c r="A806" t="str">
        <f>"00403578"</f>
        <v>00403578</v>
      </c>
      <c r="B806" t="s">
        <v>1759</v>
      </c>
      <c r="C806" t="s">
        <v>348</v>
      </c>
      <c r="D806" t="s">
        <v>21</v>
      </c>
      <c r="E806" t="s">
        <v>26</v>
      </c>
      <c r="F806" t="s">
        <v>17</v>
      </c>
      <c r="G806" t="str">
        <f>"02"</f>
        <v>02</v>
      </c>
      <c r="H806" t="str">
        <f>"3  "</f>
        <v xml:space="preserve">3  </v>
      </c>
      <c r="I806" t="str">
        <f>"2016/12/01"</f>
        <v>2016/12/01</v>
      </c>
      <c r="J806" t="str">
        <f>"510"</f>
        <v>510</v>
      </c>
      <c r="K806" t="str">
        <f>"20330730"</f>
        <v>20330730</v>
      </c>
      <c r="L806" t="s">
        <v>18</v>
      </c>
      <c r="M806" t="str">
        <f>"20150721"</f>
        <v>20150721</v>
      </c>
    </row>
    <row r="807" spans="1:13" x14ac:dyDescent="0.25">
      <c r="A807" t="str">
        <f>"00383182"</f>
        <v>00383182</v>
      </c>
      <c r="B807" t="s">
        <v>1763</v>
      </c>
      <c r="C807" t="s">
        <v>176</v>
      </c>
      <c r="D807" t="s">
        <v>15</v>
      </c>
      <c r="E807" t="s">
        <v>26</v>
      </c>
      <c r="F807" t="s">
        <v>17</v>
      </c>
      <c r="G807" t="str">
        <f>"02"</f>
        <v>02</v>
      </c>
      <c r="H807" t="str">
        <f>"7  "</f>
        <v xml:space="preserve">7  </v>
      </c>
      <c r="I807" t="str">
        <f>"2003/06/26"</f>
        <v>2003/06/26</v>
      </c>
      <c r="J807" t="str">
        <f>"510"</f>
        <v>510</v>
      </c>
      <c r="K807" t="s">
        <v>18</v>
      </c>
      <c r="L807" t="s">
        <v>18</v>
      </c>
      <c r="M807" t="str">
        <f>"20030725"</f>
        <v>20030725</v>
      </c>
    </row>
    <row r="808" spans="1:13" x14ac:dyDescent="0.25">
      <c r="A808" t="str">
        <f>"00802301"</f>
        <v>00802301</v>
      </c>
      <c r="B808" t="s">
        <v>1765</v>
      </c>
      <c r="C808" t="s">
        <v>664</v>
      </c>
      <c r="D808" t="s">
        <v>456</v>
      </c>
      <c r="E808" t="s">
        <v>26</v>
      </c>
      <c r="F808" t="s">
        <v>17</v>
      </c>
      <c r="G808" t="str">
        <f>"02"</f>
        <v>02</v>
      </c>
      <c r="H808" t="str">
        <f>"3  "</f>
        <v xml:space="preserve">3  </v>
      </c>
      <c r="I808" t="str">
        <f>"2019/03/08"</f>
        <v>2019/03/08</v>
      </c>
      <c r="J808" t="str">
        <f>"503"</f>
        <v>503</v>
      </c>
      <c r="K808" t="str">
        <f>"20230218"</f>
        <v>20230218</v>
      </c>
      <c r="L808" t="s">
        <v>18</v>
      </c>
      <c r="M808" t="str">
        <f>"20180821"</f>
        <v>20180821</v>
      </c>
    </row>
    <row r="809" spans="1:13" x14ac:dyDescent="0.25">
      <c r="A809" t="str">
        <f>"00441782"</f>
        <v>00441782</v>
      </c>
      <c r="B809" t="s">
        <v>1768</v>
      </c>
      <c r="C809" t="s">
        <v>135</v>
      </c>
      <c r="D809" t="s">
        <v>97</v>
      </c>
      <c r="E809" t="s">
        <v>26</v>
      </c>
      <c r="F809" t="s">
        <v>17</v>
      </c>
      <c r="G809" t="str">
        <f>"02"</f>
        <v>02</v>
      </c>
      <c r="H809" t="str">
        <f>"3  "</f>
        <v xml:space="preserve">3  </v>
      </c>
      <c r="I809" t="str">
        <f>"2009/01/21"</f>
        <v>2009/01/21</v>
      </c>
      <c r="J809" t="str">
        <f>"510"</f>
        <v>510</v>
      </c>
      <c r="K809" t="str">
        <f>"20210621"</f>
        <v>20210621</v>
      </c>
      <c r="L809" t="s">
        <v>18</v>
      </c>
      <c r="M809" t="str">
        <f>"20080828"</f>
        <v>20080828</v>
      </c>
    </row>
    <row r="810" spans="1:13" x14ac:dyDescent="0.25">
      <c r="A810" t="str">
        <f>"00110502"</f>
        <v>00110502</v>
      </c>
      <c r="B810" t="s">
        <v>1768</v>
      </c>
      <c r="C810" t="s">
        <v>1770</v>
      </c>
      <c r="D810" t="s">
        <v>15</v>
      </c>
      <c r="E810" t="s">
        <v>26</v>
      </c>
      <c r="F810" t="s">
        <v>17</v>
      </c>
      <c r="G810" t="str">
        <f>"02"</f>
        <v>02</v>
      </c>
      <c r="H810" t="str">
        <f>"7  "</f>
        <v xml:space="preserve">7  </v>
      </c>
      <c r="I810" t="str">
        <f>"2002/11/14"</f>
        <v>2002/11/14</v>
      </c>
      <c r="J810" t="str">
        <f>"510"</f>
        <v>510</v>
      </c>
      <c r="K810" t="s">
        <v>18</v>
      </c>
      <c r="L810" t="s">
        <v>18</v>
      </c>
      <c r="M810" t="str">
        <f>"19790716"</f>
        <v>19790716</v>
      </c>
    </row>
    <row r="811" spans="1:13" x14ac:dyDescent="0.25">
      <c r="A811" t="str">
        <f>"00531531"</f>
        <v>00531531</v>
      </c>
      <c r="B811" t="s">
        <v>1768</v>
      </c>
      <c r="C811" t="s">
        <v>96</v>
      </c>
      <c r="D811" t="s">
        <v>215</v>
      </c>
      <c r="E811" t="s">
        <v>26</v>
      </c>
      <c r="F811" t="s">
        <v>17</v>
      </c>
      <c r="G811" t="str">
        <f>"02"</f>
        <v>02</v>
      </c>
      <c r="H811" t="str">
        <f>"3  "</f>
        <v xml:space="preserve">3  </v>
      </c>
      <c r="I811" t="str">
        <f>"2012/12/13"</f>
        <v>2012/12/13</v>
      </c>
      <c r="J811" t="str">
        <f>"510"</f>
        <v>510</v>
      </c>
      <c r="K811" t="str">
        <f>"20231022"</f>
        <v>20231022</v>
      </c>
      <c r="L811" t="s">
        <v>18</v>
      </c>
      <c r="M811" t="str">
        <f>"20110426"</f>
        <v>20110426</v>
      </c>
    </row>
    <row r="812" spans="1:13" x14ac:dyDescent="0.25">
      <c r="A812" t="str">
        <f>"00720357"</f>
        <v>00720357</v>
      </c>
      <c r="B812" t="s">
        <v>1779</v>
      </c>
      <c r="C812" t="s">
        <v>1780</v>
      </c>
      <c r="D812" t="s">
        <v>15</v>
      </c>
      <c r="E812" t="s">
        <v>26</v>
      </c>
      <c r="F812" t="s">
        <v>17</v>
      </c>
      <c r="G812" t="str">
        <f>"02"</f>
        <v>02</v>
      </c>
      <c r="H812" t="str">
        <f>"3  "</f>
        <v xml:space="preserve">3  </v>
      </c>
      <c r="I812" t="str">
        <f>"2018/04/12"</f>
        <v>2018/04/12</v>
      </c>
      <c r="J812" t="str">
        <f>"110"</f>
        <v>110</v>
      </c>
      <c r="K812" t="str">
        <f>"20370804"</f>
        <v>20370804</v>
      </c>
      <c r="L812" t="s">
        <v>18</v>
      </c>
      <c r="M812" t="str">
        <f>"20150110"</f>
        <v>20150110</v>
      </c>
    </row>
    <row r="813" spans="1:13" x14ac:dyDescent="0.25">
      <c r="A813" t="str">
        <f>"00122663"</f>
        <v>00122663</v>
      </c>
      <c r="B813" t="s">
        <v>1779</v>
      </c>
      <c r="C813" t="s">
        <v>772</v>
      </c>
      <c r="D813" t="s">
        <v>40</v>
      </c>
      <c r="E813" t="s">
        <v>16</v>
      </c>
      <c r="F813" t="s">
        <v>17</v>
      </c>
      <c r="G813" t="str">
        <f>"02"</f>
        <v>02</v>
      </c>
      <c r="H813" t="str">
        <f>"7  "</f>
        <v xml:space="preserve">7  </v>
      </c>
      <c r="I813" t="str">
        <f>"1986/06/19"</f>
        <v>1986/06/19</v>
      </c>
      <c r="J813" t="str">
        <f>"503"</f>
        <v>503</v>
      </c>
      <c r="K813" t="s">
        <v>18</v>
      </c>
      <c r="L813" t="str">
        <f>"20080201"</f>
        <v>20080201</v>
      </c>
      <c r="M813" t="str">
        <f>"19740119"</f>
        <v>19740119</v>
      </c>
    </row>
    <row r="814" spans="1:13" x14ac:dyDescent="0.25">
      <c r="A814" t="str">
        <f>"00245979"</f>
        <v>00245979</v>
      </c>
      <c r="B814" t="s">
        <v>1779</v>
      </c>
      <c r="C814" t="s">
        <v>1782</v>
      </c>
      <c r="D814" t="s">
        <v>61</v>
      </c>
      <c r="E814" t="s">
        <v>26</v>
      </c>
      <c r="F814" t="s">
        <v>17</v>
      </c>
      <c r="G814" t="str">
        <f>"02"</f>
        <v>02</v>
      </c>
      <c r="H814" t="str">
        <f>"7  "</f>
        <v xml:space="preserve">7  </v>
      </c>
      <c r="I814" t="str">
        <f>"2012/09/14"</f>
        <v>2012/09/14</v>
      </c>
      <c r="J814" t="str">
        <f>"510"</f>
        <v>510</v>
      </c>
      <c r="K814" t="s">
        <v>18</v>
      </c>
      <c r="L814" t="s">
        <v>18</v>
      </c>
      <c r="M814" t="str">
        <f>"20091024"</f>
        <v>20091024</v>
      </c>
    </row>
    <row r="815" spans="1:13" x14ac:dyDescent="0.25">
      <c r="A815" t="str">
        <f>"00256397"</f>
        <v>00256397</v>
      </c>
      <c r="B815" t="s">
        <v>1783</v>
      </c>
      <c r="C815" t="s">
        <v>1784</v>
      </c>
      <c r="D815" t="s">
        <v>25</v>
      </c>
      <c r="E815" t="s">
        <v>26</v>
      </c>
      <c r="F815" t="s">
        <v>17</v>
      </c>
      <c r="G815" t="str">
        <f>"02"</f>
        <v>02</v>
      </c>
      <c r="H815" t="str">
        <f>"3  "</f>
        <v xml:space="preserve">3  </v>
      </c>
      <c r="I815" t="str">
        <f>"2020/01/06"</f>
        <v>2020/01/06</v>
      </c>
      <c r="J815" t="str">
        <f>"510"</f>
        <v>510</v>
      </c>
      <c r="K815" t="str">
        <f>"20281201"</f>
        <v>20281201</v>
      </c>
      <c r="L815" t="s">
        <v>18</v>
      </c>
      <c r="M815" t="str">
        <f>"20191115"</f>
        <v>20191115</v>
      </c>
    </row>
    <row r="816" spans="1:13" x14ac:dyDescent="0.25">
      <c r="A816" t="str">
        <f>"00191490"</f>
        <v>00191490</v>
      </c>
      <c r="B816" t="s">
        <v>1785</v>
      </c>
      <c r="C816" t="s">
        <v>155</v>
      </c>
      <c r="D816" t="s">
        <v>40</v>
      </c>
      <c r="E816" t="s">
        <v>26</v>
      </c>
      <c r="F816" t="s">
        <v>17</v>
      </c>
      <c r="G816" t="str">
        <f>"02"</f>
        <v>02</v>
      </c>
      <c r="H816" t="str">
        <f>"6  "</f>
        <v xml:space="preserve">6  </v>
      </c>
      <c r="I816" t="str">
        <f>"2019/02/15"</f>
        <v>2019/02/15</v>
      </c>
      <c r="J816" t="str">
        <f>"510"</f>
        <v>510</v>
      </c>
      <c r="K816" t="s">
        <v>18</v>
      </c>
      <c r="L816" t="str">
        <f>"20210727"</f>
        <v>20210727</v>
      </c>
      <c r="M816" t="str">
        <f>"20170727"</f>
        <v>20170727</v>
      </c>
    </row>
    <row r="817" spans="1:13" x14ac:dyDescent="0.25">
      <c r="A817" t="str">
        <f>"00557178"</f>
        <v>00557178</v>
      </c>
      <c r="B817" t="s">
        <v>1785</v>
      </c>
      <c r="C817" t="s">
        <v>74</v>
      </c>
      <c r="D817" t="s">
        <v>21</v>
      </c>
      <c r="E817" t="s">
        <v>16</v>
      </c>
      <c r="F817" t="s">
        <v>17</v>
      </c>
      <c r="G817" t="str">
        <f>"02"</f>
        <v>02</v>
      </c>
      <c r="H817" t="str">
        <f>"3  "</f>
        <v xml:space="preserve">3  </v>
      </c>
      <c r="I817" t="str">
        <f>"2009/10/14"</f>
        <v>2009/10/14</v>
      </c>
      <c r="J817" t="str">
        <f>"110"</f>
        <v>110</v>
      </c>
      <c r="K817" t="str">
        <f>"20340727"</f>
        <v>20340727</v>
      </c>
      <c r="L817" t="s">
        <v>18</v>
      </c>
      <c r="M817" t="str">
        <f>"20080225"</f>
        <v>20080225</v>
      </c>
    </row>
    <row r="818" spans="1:13" x14ac:dyDescent="0.25">
      <c r="A818" t="str">
        <f>"00457529"</f>
        <v>00457529</v>
      </c>
      <c r="B818" t="s">
        <v>1785</v>
      </c>
      <c r="C818" t="s">
        <v>677</v>
      </c>
      <c r="D818" t="s">
        <v>51</v>
      </c>
      <c r="E818" t="s">
        <v>26</v>
      </c>
      <c r="F818" t="s">
        <v>17</v>
      </c>
      <c r="G818" t="str">
        <f>"02"</f>
        <v>02</v>
      </c>
      <c r="H818" t="str">
        <f>"3  "</f>
        <v xml:space="preserve">3  </v>
      </c>
      <c r="I818" t="str">
        <f>"2019/03/01"</f>
        <v>2019/03/01</v>
      </c>
      <c r="J818" t="str">
        <f>"503"</f>
        <v>503</v>
      </c>
      <c r="K818" t="str">
        <f>"20210110"</f>
        <v>20210110</v>
      </c>
      <c r="L818" t="s">
        <v>18</v>
      </c>
      <c r="M818" t="str">
        <f>"20180718"</f>
        <v>20180718</v>
      </c>
    </row>
    <row r="819" spans="1:13" x14ac:dyDescent="0.25">
      <c r="A819" t="str">
        <f>"00608219"</f>
        <v>00608219</v>
      </c>
      <c r="B819" t="s">
        <v>1795</v>
      </c>
      <c r="C819" t="s">
        <v>929</v>
      </c>
      <c r="D819" t="s">
        <v>51</v>
      </c>
      <c r="E819" t="s">
        <v>26</v>
      </c>
      <c r="F819" t="s">
        <v>17</v>
      </c>
      <c r="G819" t="str">
        <f>"02"</f>
        <v>02</v>
      </c>
      <c r="H819" t="str">
        <f>"3  "</f>
        <v xml:space="preserve">3  </v>
      </c>
      <c r="I819" t="str">
        <f>"2015/02/02"</f>
        <v>2015/02/02</v>
      </c>
      <c r="J819" t="str">
        <f>"510"</f>
        <v>510</v>
      </c>
      <c r="K819" t="str">
        <f>"20221218"</f>
        <v>20221218</v>
      </c>
      <c r="L819" t="s">
        <v>18</v>
      </c>
      <c r="M819" t="str">
        <f>"20140327"</f>
        <v>20140327</v>
      </c>
    </row>
    <row r="820" spans="1:13" x14ac:dyDescent="0.25">
      <c r="A820" t="str">
        <f>"00669022"</f>
        <v>00669022</v>
      </c>
      <c r="B820" t="s">
        <v>1796</v>
      </c>
      <c r="C820" t="s">
        <v>1797</v>
      </c>
      <c r="D820" t="s">
        <v>51</v>
      </c>
      <c r="E820" t="s">
        <v>26</v>
      </c>
      <c r="F820" t="s">
        <v>17</v>
      </c>
      <c r="G820" t="str">
        <f>"02"</f>
        <v>02</v>
      </c>
      <c r="H820" t="str">
        <f>"3  "</f>
        <v xml:space="preserve">3  </v>
      </c>
      <c r="I820" t="str">
        <f>"2017/11/21"</f>
        <v>2017/11/21</v>
      </c>
      <c r="J820" t="str">
        <f>"110"</f>
        <v>110</v>
      </c>
      <c r="K820" t="str">
        <f>"20211210"</f>
        <v>20211210</v>
      </c>
      <c r="L820" t="s">
        <v>18</v>
      </c>
      <c r="M820" t="str">
        <f>"20171117"</f>
        <v>20171117</v>
      </c>
    </row>
    <row r="821" spans="1:13" x14ac:dyDescent="0.25">
      <c r="A821" t="str">
        <f>"00163319"</f>
        <v>00163319</v>
      </c>
      <c r="B821" t="s">
        <v>1796</v>
      </c>
      <c r="C821" t="s">
        <v>353</v>
      </c>
      <c r="D821" t="s">
        <v>40</v>
      </c>
      <c r="E821" t="s">
        <v>26</v>
      </c>
      <c r="F821" t="s">
        <v>17</v>
      </c>
      <c r="G821" t="str">
        <f>"02"</f>
        <v>02</v>
      </c>
      <c r="H821" t="str">
        <f>"3  "</f>
        <v xml:space="preserve">3  </v>
      </c>
      <c r="I821" t="str">
        <f>"2012/10/02"</f>
        <v>2012/10/02</v>
      </c>
      <c r="J821" t="str">
        <f>"110"</f>
        <v>110</v>
      </c>
      <c r="K821" t="str">
        <f>"20420903"</f>
        <v>20420903</v>
      </c>
      <c r="L821" t="s">
        <v>18</v>
      </c>
      <c r="M821" t="str">
        <f>"20111209"</f>
        <v>20111209</v>
      </c>
    </row>
    <row r="822" spans="1:13" x14ac:dyDescent="0.25">
      <c r="A822" t="str">
        <f>"00222652"</f>
        <v>00222652</v>
      </c>
      <c r="B822" t="s">
        <v>1796</v>
      </c>
      <c r="C822" t="s">
        <v>1800</v>
      </c>
      <c r="D822" t="s">
        <v>40</v>
      </c>
      <c r="E822" t="s">
        <v>26</v>
      </c>
      <c r="F822" t="s">
        <v>17</v>
      </c>
      <c r="G822" t="str">
        <f>"02"</f>
        <v>02</v>
      </c>
      <c r="H822" t="str">
        <f>"3  "</f>
        <v xml:space="preserve">3  </v>
      </c>
      <c r="I822" t="str">
        <f>"2001/08/30"</f>
        <v>2001/08/30</v>
      </c>
      <c r="J822" t="str">
        <f>"502"</f>
        <v>502</v>
      </c>
      <c r="K822" t="str">
        <f>"20320821"</f>
        <v>20320821</v>
      </c>
      <c r="L822" t="s">
        <v>18</v>
      </c>
      <c r="M822" t="str">
        <f>"20000208"</f>
        <v>20000208</v>
      </c>
    </row>
    <row r="823" spans="1:13" x14ac:dyDescent="0.25">
      <c r="A823" t="str">
        <f>"00227164"</f>
        <v>00227164</v>
      </c>
      <c r="B823" t="s">
        <v>1801</v>
      </c>
      <c r="C823" t="s">
        <v>358</v>
      </c>
      <c r="D823" t="s">
        <v>53</v>
      </c>
      <c r="E823" t="s">
        <v>26</v>
      </c>
      <c r="F823" t="s">
        <v>17</v>
      </c>
      <c r="G823" t="str">
        <f>"02"</f>
        <v>02</v>
      </c>
      <c r="H823" t="str">
        <f>"7  "</f>
        <v xml:space="preserve">7  </v>
      </c>
      <c r="I823" t="str">
        <f>"2008/11/12"</f>
        <v>2008/11/12</v>
      </c>
      <c r="J823" t="str">
        <f>"510"</f>
        <v>510</v>
      </c>
      <c r="K823" t="s">
        <v>18</v>
      </c>
      <c r="L823" t="s">
        <v>18</v>
      </c>
      <c r="M823" t="str">
        <f>"20060427"</f>
        <v>20060427</v>
      </c>
    </row>
    <row r="824" spans="1:13" x14ac:dyDescent="0.25">
      <c r="A824" t="str">
        <f>"00338255"</f>
        <v>00338255</v>
      </c>
      <c r="B824" t="s">
        <v>1809</v>
      </c>
      <c r="C824" t="s">
        <v>647</v>
      </c>
      <c r="D824" t="s">
        <v>97</v>
      </c>
      <c r="E824" t="s">
        <v>26</v>
      </c>
      <c r="F824" t="s">
        <v>17</v>
      </c>
      <c r="G824" t="str">
        <f>"02"</f>
        <v>02</v>
      </c>
      <c r="H824" t="str">
        <f>"4  "</f>
        <v xml:space="preserve">4  </v>
      </c>
      <c r="I824" t="str">
        <f>"2003/10/06"</f>
        <v>2003/10/06</v>
      </c>
      <c r="J824" t="str">
        <f>"503"</f>
        <v>503</v>
      </c>
      <c r="K824" t="str">
        <f>"20220410"</f>
        <v>20220410</v>
      </c>
      <c r="L824" t="s">
        <v>18</v>
      </c>
      <c r="M824" t="str">
        <f>"19951020"</f>
        <v>19951020</v>
      </c>
    </row>
    <row r="825" spans="1:13" x14ac:dyDescent="0.25">
      <c r="A825" t="str">
        <f>"00529087"</f>
        <v>00529087</v>
      </c>
      <c r="B825" t="s">
        <v>1811</v>
      </c>
      <c r="C825" t="s">
        <v>96</v>
      </c>
      <c r="D825" t="s">
        <v>80</v>
      </c>
      <c r="E825" t="s">
        <v>16</v>
      </c>
      <c r="F825" t="s">
        <v>17</v>
      </c>
      <c r="G825" t="str">
        <f>"02"</f>
        <v>02</v>
      </c>
      <c r="H825" t="str">
        <f>"7  "</f>
        <v xml:space="preserve">7  </v>
      </c>
      <c r="I825" t="str">
        <f>"2008/10/24"</f>
        <v>2008/10/24</v>
      </c>
      <c r="J825" t="str">
        <f>"503"</f>
        <v>503</v>
      </c>
      <c r="K825" t="s">
        <v>18</v>
      </c>
      <c r="L825" t="s">
        <v>18</v>
      </c>
      <c r="M825" t="str">
        <f>"20070905"</f>
        <v>20070905</v>
      </c>
    </row>
    <row r="826" spans="1:13" x14ac:dyDescent="0.25">
      <c r="A826" t="str">
        <f>"00161783"</f>
        <v>00161783</v>
      </c>
      <c r="B826" t="s">
        <v>1824</v>
      </c>
      <c r="C826" t="s">
        <v>1827</v>
      </c>
      <c r="D826" t="s">
        <v>456</v>
      </c>
      <c r="E826" t="s">
        <v>26</v>
      </c>
      <c r="F826" t="s">
        <v>17</v>
      </c>
      <c r="G826" t="str">
        <f>"02"</f>
        <v>02</v>
      </c>
      <c r="H826" t="str">
        <f>"7  "</f>
        <v xml:space="preserve">7  </v>
      </c>
      <c r="I826" t="str">
        <f>"1985/01/18"</f>
        <v>1985/01/18</v>
      </c>
      <c r="J826" t="str">
        <f>"503"</f>
        <v>503</v>
      </c>
      <c r="K826" t="s">
        <v>18</v>
      </c>
      <c r="L826" t="str">
        <f>"20220128"</f>
        <v>20220128</v>
      </c>
      <c r="M826" t="str">
        <f>"19840107"</f>
        <v>19840107</v>
      </c>
    </row>
    <row r="827" spans="1:13" x14ac:dyDescent="0.25">
      <c r="A827" t="str">
        <f>"00886851"</f>
        <v>00886851</v>
      </c>
      <c r="B827" t="s">
        <v>1824</v>
      </c>
      <c r="C827" t="s">
        <v>1829</v>
      </c>
      <c r="D827" t="s">
        <v>25</v>
      </c>
      <c r="E827" t="s">
        <v>26</v>
      </c>
      <c r="F827" t="s">
        <v>17</v>
      </c>
      <c r="G827" t="str">
        <f>"02"</f>
        <v>02</v>
      </c>
      <c r="H827" t="str">
        <f>"3  "</f>
        <v xml:space="preserve">3  </v>
      </c>
      <c r="I827" t="str">
        <f>"2020/07/31"</f>
        <v>2020/07/31</v>
      </c>
      <c r="J827" t="str">
        <f>"110"</f>
        <v>110</v>
      </c>
      <c r="K827" t="str">
        <f>"20220314"</f>
        <v>20220314</v>
      </c>
      <c r="L827" t="s">
        <v>18</v>
      </c>
      <c r="M827" t="str">
        <f>"20191201"</f>
        <v>20191201</v>
      </c>
    </row>
    <row r="828" spans="1:13" x14ac:dyDescent="0.25">
      <c r="A828" t="str">
        <f>"00447646"</f>
        <v>00447646</v>
      </c>
      <c r="B828" t="s">
        <v>1824</v>
      </c>
      <c r="C828" t="s">
        <v>1830</v>
      </c>
      <c r="D828" t="s">
        <v>51</v>
      </c>
      <c r="E828" t="s">
        <v>26</v>
      </c>
      <c r="F828" t="s">
        <v>17</v>
      </c>
      <c r="G828" t="str">
        <f>"02"</f>
        <v>02</v>
      </c>
      <c r="H828" t="str">
        <f>"3  "</f>
        <v xml:space="preserve">3  </v>
      </c>
      <c r="I828" t="str">
        <f>"2016/07/22"</f>
        <v>2016/07/22</v>
      </c>
      <c r="J828" t="str">
        <f>"503"</f>
        <v>503</v>
      </c>
      <c r="K828" t="str">
        <f>"20451001"</f>
        <v>20451001</v>
      </c>
      <c r="L828" t="s">
        <v>18</v>
      </c>
      <c r="M828" t="str">
        <f>"20150306"</f>
        <v>20150306</v>
      </c>
    </row>
    <row r="829" spans="1:13" x14ac:dyDescent="0.25">
      <c r="A829" t="str">
        <f>"00559566"</f>
        <v>00559566</v>
      </c>
      <c r="B829" t="s">
        <v>1832</v>
      </c>
      <c r="C829" t="s">
        <v>1833</v>
      </c>
      <c r="D829" t="s">
        <v>25</v>
      </c>
      <c r="E829" t="s">
        <v>26</v>
      </c>
      <c r="F829" t="s">
        <v>17</v>
      </c>
      <c r="G829" t="str">
        <f>"02"</f>
        <v>02</v>
      </c>
      <c r="H829" t="str">
        <f>"3  "</f>
        <v xml:space="preserve">3  </v>
      </c>
      <c r="I829" t="str">
        <f>"2008/08/20"</f>
        <v>2008/08/20</v>
      </c>
      <c r="J829" t="str">
        <f>"110"</f>
        <v>110</v>
      </c>
      <c r="K829" t="str">
        <f>"20260205"</f>
        <v>20260205</v>
      </c>
      <c r="L829" t="s">
        <v>18</v>
      </c>
      <c r="M829" t="str">
        <f>"20070820"</f>
        <v>20070820</v>
      </c>
    </row>
    <row r="830" spans="1:13" x14ac:dyDescent="0.25">
      <c r="A830" t="str">
        <f>"00290218"</f>
        <v>00290218</v>
      </c>
      <c r="B830" t="s">
        <v>1832</v>
      </c>
      <c r="C830" t="s">
        <v>1207</v>
      </c>
      <c r="D830" t="s">
        <v>25</v>
      </c>
      <c r="E830" t="s">
        <v>26</v>
      </c>
      <c r="F830" t="s">
        <v>17</v>
      </c>
      <c r="G830" t="str">
        <f>"02"</f>
        <v>02</v>
      </c>
      <c r="H830" t="str">
        <f>"3  "</f>
        <v xml:space="preserve">3  </v>
      </c>
      <c r="I830" t="str">
        <f>"2020/09/16"</f>
        <v>2020/09/16</v>
      </c>
      <c r="J830" t="str">
        <f>"533"</f>
        <v>533</v>
      </c>
      <c r="K830" t="str">
        <f>"20440919"</f>
        <v>20440919</v>
      </c>
      <c r="L830" t="s">
        <v>18</v>
      </c>
      <c r="M830" t="str">
        <f>"20131119"</f>
        <v>20131119</v>
      </c>
    </row>
    <row r="831" spans="1:13" x14ac:dyDescent="0.25">
      <c r="A831" t="str">
        <f>"00171488"</f>
        <v>00171488</v>
      </c>
      <c r="B831" t="s">
        <v>1834</v>
      </c>
      <c r="C831" t="s">
        <v>1835</v>
      </c>
      <c r="D831" t="s">
        <v>51</v>
      </c>
      <c r="E831" t="s">
        <v>26</v>
      </c>
      <c r="F831" t="s">
        <v>17</v>
      </c>
      <c r="G831" t="str">
        <f>"02"</f>
        <v>02</v>
      </c>
      <c r="H831" t="str">
        <f>"3  "</f>
        <v xml:space="preserve">3  </v>
      </c>
      <c r="I831" t="str">
        <f>"2017/03/14"</f>
        <v>2017/03/14</v>
      </c>
      <c r="J831" t="str">
        <f>"110"</f>
        <v>110</v>
      </c>
      <c r="K831" t="str">
        <f>"20420602"</f>
        <v>20420602</v>
      </c>
      <c r="L831" t="s">
        <v>18</v>
      </c>
      <c r="M831" t="str">
        <f>"20150526"</f>
        <v>20150526</v>
      </c>
    </row>
    <row r="832" spans="1:13" x14ac:dyDescent="0.25">
      <c r="A832" t="str">
        <f>"00631097"</f>
        <v>00631097</v>
      </c>
      <c r="B832" t="s">
        <v>1834</v>
      </c>
      <c r="C832" t="s">
        <v>302</v>
      </c>
      <c r="D832" t="s">
        <v>40</v>
      </c>
      <c r="E832" t="s">
        <v>26</v>
      </c>
      <c r="F832" t="s">
        <v>17</v>
      </c>
      <c r="G832" t="str">
        <f>"02"</f>
        <v>02</v>
      </c>
      <c r="H832" t="str">
        <f>"3  "</f>
        <v xml:space="preserve">3  </v>
      </c>
      <c r="I832" t="str">
        <f>"2016/03/30"</f>
        <v>2016/03/30</v>
      </c>
      <c r="J832" t="str">
        <f>"510"</f>
        <v>510</v>
      </c>
      <c r="K832" t="str">
        <f>"20440911"</f>
        <v>20440911</v>
      </c>
      <c r="L832" t="s">
        <v>18</v>
      </c>
      <c r="M832" t="str">
        <f>"20140123"</f>
        <v>20140123</v>
      </c>
    </row>
    <row r="833" spans="1:13" x14ac:dyDescent="0.25">
      <c r="A833" t="str">
        <f>"00362611"</f>
        <v>00362611</v>
      </c>
      <c r="B833" t="s">
        <v>1840</v>
      </c>
      <c r="C833" t="s">
        <v>1842</v>
      </c>
      <c r="D833" t="s">
        <v>51</v>
      </c>
      <c r="E833" t="s">
        <v>26</v>
      </c>
      <c r="F833" t="s">
        <v>17</v>
      </c>
      <c r="G833" t="str">
        <f>"02"</f>
        <v>02</v>
      </c>
      <c r="H833" t="str">
        <f>"3  "</f>
        <v xml:space="preserve">3  </v>
      </c>
      <c r="I833" t="str">
        <f>"2019/07/26"</f>
        <v>2019/07/26</v>
      </c>
      <c r="J833" t="str">
        <f>"531"</f>
        <v>531</v>
      </c>
      <c r="K833" t="str">
        <f>"20230514"</f>
        <v>20230514</v>
      </c>
      <c r="L833" t="s">
        <v>18</v>
      </c>
      <c r="M833" t="str">
        <f>"20160216"</f>
        <v>20160216</v>
      </c>
    </row>
    <row r="834" spans="1:13" x14ac:dyDescent="0.25">
      <c r="A834" t="str">
        <f>"00156561"</f>
        <v>00156561</v>
      </c>
      <c r="B834" t="s">
        <v>1840</v>
      </c>
      <c r="C834" t="s">
        <v>96</v>
      </c>
      <c r="D834" t="s">
        <v>45</v>
      </c>
      <c r="E834" t="s">
        <v>26</v>
      </c>
      <c r="F834" t="s">
        <v>17</v>
      </c>
      <c r="G834" t="str">
        <f>"02"</f>
        <v>02</v>
      </c>
      <c r="H834" t="str">
        <f>"7  "</f>
        <v xml:space="preserve">7  </v>
      </c>
      <c r="I834" t="str">
        <f>"2001/01/03"</f>
        <v>2001/01/03</v>
      </c>
      <c r="J834" t="str">
        <f>"533"</f>
        <v>533</v>
      </c>
      <c r="K834" t="s">
        <v>18</v>
      </c>
      <c r="L834" t="s">
        <v>18</v>
      </c>
      <c r="M834" t="str">
        <f>"19900731"</f>
        <v>19900731</v>
      </c>
    </row>
    <row r="835" spans="1:13" x14ac:dyDescent="0.25">
      <c r="A835" t="str">
        <f>"00210748"</f>
        <v>00210748</v>
      </c>
      <c r="B835" t="s">
        <v>1840</v>
      </c>
      <c r="C835" t="s">
        <v>1846</v>
      </c>
      <c r="D835" t="s">
        <v>21</v>
      </c>
      <c r="E835" t="s">
        <v>26</v>
      </c>
      <c r="F835" t="s">
        <v>17</v>
      </c>
      <c r="G835" t="str">
        <f>"02"</f>
        <v>02</v>
      </c>
      <c r="H835" t="str">
        <f>"3  "</f>
        <v xml:space="preserve">3  </v>
      </c>
      <c r="I835" t="str">
        <f>"2014/06/20"</f>
        <v>2014/06/20</v>
      </c>
      <c r="J835" t="str">
        <f>"110"</f>
        <v>110</v>
      </c>
      <c r="K835" t="str">
        <f>"20220110"</f>
        <v>20220110</v>
      </c>
      <c r="L835" t="s">
        <v>18</v>
      </c>
      <c r="M835" t="str">
        <f>"20131106"</f>
        <v>20131106</v>
      </c>
    </row>
    <row r="836" spans="1:13" x14ac:dyDescent="0.25">
      <c r="A836" t="str">
        <f>"00608777"</f>
        <v>00608777</v>
      </c>
      <c r="B836" t="s">
        <v>1840</v>
      </c>
      <c r="C836" t="s">
        <v>1847</v>
      </c>
      <c r="D836" t="s">
        <v>182</v>
      </c>
      <c r="E836" t="s">
        <v>26</v>
      </c>
      <c r="F836" t="s">
        <v>17</v>
      </c>
      <c r="G836" t="str">
        <f>"02"</f>
        <v>02</v>
      </c>
      <c r="H836" t="str">
        <f>"3  "</f>
        <v xml:space="preserve">3  </v>
      </c>
      <c r="I836" t="str">
        <f>"2017/09/14"</f>
        <v>2017/09/14</v>
      </c>
      <c r="J836" t="str">
        <f>"110"</f>
        <v>110</v>
      </c>
      <c r="K836" t="str">
        <f>"20271120"</f>
        <v>20271120</v>
      </c>
      <c r="L836" t="s">
        <v>18</v>
      </c>
      <c r="M836" t="str">
        <f>"20170105"</f>
        <v>20170105</v>
      </c>
    </row>
    <row r="837" spans="1:13" x14ac:dyDescent="0.25">
      <c r="A837" t="str">
        <f>"00526778"</f>
        <v>00526778</v>
      </c>
      <c r="B837" t="s">
        <v>1840</v>
      </c>
      <c r="C837" t="s">
        <v>1848</v>
      </c>
      <c r="D837" t="s">
        <v>45</v>
      </c>
      <c r="E837" t="s">
        <v>26</v>
      </c>
      <c r="F837" t="s">
        <v>17</v>
      </c>
      <c r="G837" t="str">
        <f>"02"</f>
        <v>02</v>
      </c>
      <c r="H837" t="str">
        <f>"3  "</f>
        <v xml:space="preserve">3  </v>
      </c>
      <c r="I837" t="str">
        <f>"2019/06/25"</f>
        <v>2019/06/25</v>
      </c>
      <c r="J837" t="str">
        <f>"110"</f>
        <v>110</v>
      </c>
      <c r="K837" t="str">
        <f>"20490812"</f>
        <v>20490812</v>
      </c>
      <c r="L837" t="s">
        <v>18</v>
      </c>
      <c r="M837" t="str">
        <f>"20180223"</f>
        <v>20180223</v>
      </c>
    </row>
    <row r="838" spans="1:13" x14ac:dyDescent="0.25">
      <c r="A838" t="str">
        <f>"00297441"</f>
        <v>00297441</v>
      </c>
      <c r="B838" t="s">
        <v>1840</v>
      </c>
      <c r="C838" t="s">
        <v>1850</v>
      </c>
      <c r="D838" t="s">
        <v>25</v>
      </c>
      <c r="E838" t="s">
        <v>26</v>
      </c>
      <c r="F838" t="s">
        <v>17</v>
      </c>
      <c r="G838" t="str">
        <f>"02"</f>
        <v>02</v>
      </c>
      <c r="H838" t="str">
        <f>"7  "</f>
        <v xml:space="preserve">7  </v>
      </c>
      <c r="I838" t="str">
        <f>"2019/10/14"</f>
        <v>2019/10/14</v>
      </c>
      <c r="J838" t="str">
        <f>"510"</f>
        <v>510</v>
      </c>
      <c r="K838" t="s">
        <v>18</v>
      </c>
      <c r="L838" t="s">
        <v>18</v>
      </c>
      <c r="M838" t="str">
        <f>"20180509"</f>
        <v>20180509</v>
      </c>
    </row>
    <row r="839" spans="1:13" x14ac:dyDescent="0.25">
      <c r="A839" t="str">
        <f>"00567957"</f>
        <v>00567957</v>
      </c>
      <c r="B839" t="s">
        <v>1840</v>
      </c>
      <c r="C839" t="s">
        <v>1851</v>
      </c>
      <c r="D839" t="s">
        <v>61</v>
      </c>
      <c r="E839" t="s">
        <v>26</v>
      </c>
      <c r="F839" t="s">
        <v>17</v>
      </c>
      <c r="G839" t="str">
        <f>"02"</f>
        <v>02</v>
      </c>
      <c r="H839" t="str">
        <f>"3  "</f>
        <v xml:space="preserve">3  </v>
      </c>
      <c r="I839" t="str">
        <f>"2018/10/05"</f>
        <v>2018/10/05</v>
      </c>
      <c r="J839" t="str">
        <f>"510"</f>
        <v>510</v>
      </c>
      <c r="K839" t="str">
        <f>"20250515"</f>
        <v>20250515</v>
      </c>
      <c r="L839" t="s">
        <v>18</v>
      </c>
      <c r="M839" t="str">
        <f>"20170327"</f>
        <v>20170327</v>
      </c>
    </row>
    <row r="840" spans="1:13" x14ac:dyDescent="0.25">
      <c r="A840" t="str">
        <f>"00468385"</f>
        <v>00468385</v>
      </c>
      <c r="B840" t="s">
        <v>1840</v>
      </c>
      <c r="C840" t="s">
        <v>1853</v>
      </c>
      <c r="D840" t="s">
        <v>53</v>
      </c>
      <c r="E840" t="s">
        <v>26</v>
      </c>
      <c r="F840" t="s">
        <v>17</v>
      </c>
      <c r="G840" t="str">
        <f>"02"</f>
        <v>02</v>
      </c>
      <c r="H840" t="str">
        <f>"7  "</f>
        <v xml:space="preserve">7  </v>
      </c>
      <c r="I840" t="str">
        <f>"2014/04/02"</f>
        <v>2014/04/02</v>
      </c>
      <c r="J840" t="str">
        <f>"110"</f>
        <v>110</v>
      </c>
      <c r="K840" t="s">
        <v>18</v>
      </c>
      <c r="L840" t="s">
        <v>18</v>
      </c>
      <c r="M840" t="str">
        <f>"20110205"</f>
        <v>20110205</v>
      </c>
    </row>
    <row r="841" spans="1:13" x14ac:dyDescent="0.25">
      <c r="A841" t="str">
        <f>"00173086"</f>
        <v>00173086</v>
      </c>
      <c r="B841" t="s">
        <v>1840</v>
      </c>
      <c r="C841" t="s">
        <v>1854</v>
      </c>
      <c r="D841" t="s">
        <v>51</v>
      </c>
      <c r="E841" t="s">
        <v>26</v>
      </c>
      <c r="F841" t="s">
        <v>17</v>
      </c>
      <c r="G841" t="str">
        <f>"02"</f>
        <v>02</v>
      </c>
      <c r="H841" t="str">
        <f>"3  "</f>
        <v xml:space="preserve">3  </v>
      </c>
      <c r="I841" t="str">
        <f>"2005/04/06"</f>
        <v>2005/04/06</v>
      </c>
      <c r="J841" t="str">
        <f>"510"</f>
        <v>510</v>
      </c>
      <c r="K841" t="str">
        <f>"20250725"</f>
        <v>20250725</v>
      </c>
      <c r="L841" t="s">
        <v>18</v>
      </c>
      <c r="M841" t="str">
        <f>"20040928"</f>
        <v>20040928</v>
      </c>
    </row>
    <row r="842" spans="1:13" x14ac:dyDescent="0.25">
      <c r="A842" t="str">
        <f>"00365935"</f>
        <v>00365935</v>
      </c>
      <c r="B842" t="s">
        <v>1840</v>
      </c>
      <c r="C842" t="s">
        <v>1855</v>
      </c>
      <c r="D842" t="s">
        <v>37</v>
      </c>
      <c r="E842" t="s">
        <v>26</v>
      </c>
      <c r="F842" t="s">
        <v>17</v>
      </c>
      <c r="G842" t="str">
        <f>"02"</f>
        <v>02</v>
      </c>
      <c r="H842" t="str">
        <f>"3  "</f>
        <v xml:space="preserve">3  </v>
      </c>
      <c r="I842" t="str">
        <f>"2020/01/24"</f>
        <v>2020/01/24</v>
      </c>
      <c r="J842" t="str">
        <f>"510"</f>
        <v>510</v>
      </c>
      <c r="K842" t="str">
        <f>"20261011"</f>
        <v>20261011</v>
      </c>
      <c r="L842" t="s">
        <v>18</v>
      </c>
      <c r="M842" t="str">
        <f>"20181017"</f>
        <v>20181017</v>
      </c>
    </row>
    <row r="843" spans="1:13" x14ac:dyDescent="0.25">
      <c r="A843" t="str">
        <f>"00561326"</f>
        <v>00561326</v>
      </c>
      <c r="B843" t="s">
        <v>1840</v>
      </c>
      <c r="C843" t="s">
        <v>294</v>
      </c>
      <c r="D843" t="s">
        <v>25</v>
      </c>
      <c r="E843" t="s">
        <v>26</v>
      </c>
      <c r="F843" t="s">
        <v>17</v>
      </c>
      <c r="G843" t="str">
        <f>"02"</f>
        <v>02</v>
      </c>
      <c r="H843" t="str">
        <f>"3  "</f>
        <v xml:space="preserve">3  </v>
      </c>
      <c r="I843" t="str">
        <f>"2016/11/18"</f>
        <v>2016/11/18</v>
      </c>
      <c r="J843" t="str">
        <f>"510"</f>
        <v>510</v>
      </c>
      <c r="K843" t="str">
        <f>"20311112"</f>
        <v>20311112</v>
      </c>
      <c r="L843" t="s">
        <v>18</v>
      </c>
      <c r="M843" t="str">
        <f>"20130205"</f>
        <v>20130205</v>
      </c>
    </row>
    <row r="844" spans="1:13" x14ac:dyDescent="0.25">
      <c r="A844" t="str">
        <f>"00229843"</f>
        <v>00229843</v>
      </c>
      <c r="B844" t="s">
        <v>1861</v>
      </c>
      <c r="C844" t="s">
        <v>1862</v>
      </c>
      <c r="D844" t="s">
        <v>91</v>
      </c>
      <c r="E844" t="s">
        <v>16</v>
      </c>
      <c r="F844" t="s">
        <v>17</v>
      </c>
      <c r="G844" t="str">
        <f>"02"</f>
        <v>02</v>
      </c>
      <c r="H844" t="str">
        <f>"3  "</f>
        <v xml:space="preserve">3  </v>
      </c>
      <c r="I844" t="str">
        <f>"2020/01/10"</f>
        <v>2020/01/10</v>
      </c>
      <c r="J844" t="str">
        <f>"503"</f>
        <v>503</v>
      </c>
      <c r="K844" t="str">
        <f>"20230331"</f>
        <v>20230331</v>
      </c>
      <c r="L844" t="s">
        <v>18</v>
      </c>
      <c r="M844" t="str">
        <f>"20190812"</f>
        <v>20190812</v>
      </c>
    </row>
    <row r="845" spans="1:13" x14ac:dyDescent="0.25">
      <c r="A845" t="str">
        <f>"00921841"</f>
        <v>00921841</v>
      </c>
      <c r="B845" t="s">
        <v>1864</v>
      </c>
      <c r="C845" t="s">
        <v>1866</v>
      </c>
      <c r="D845" t="s">
        <v>25</v>
      </c>
      <c r="E845" t="s">
        <v>26</v>
      </c>
      <c r="F845" t="s">
        <v>17</v>
      </c>
      <c r="G845" t="str">
        <f>"02"</f>
        <v>02</v>
      </c>
      <c r="H845" t="str">
        <f>"3  "</f>
        <v xml:space="preserve">3  </v>
      </c>
      <c r="I845" t="str">
        <f>"2019/12/06"</f>
        <v>2019/12/06</v>
      </c>
      <c r="J845" t="str">
        <f>"110"</f>
        <v>110</v>
      </c>
      <c r="K845" t="str">
        <f>"20261222"</f>
        <v>20261222</v>
      </c>
      <c r="L845" t="s">
        <v>18</v>
      </c>
      <c r="M845" t="str">
        <f>"20090622"</f>
        <v>20090622</v>
      </c>
    </row>
    <row r="846" spans="1:13" x14ac:dyDescent="0.25">
      <c r="A846" t="str">
        <f>"00417270"</f>
        <v>00417270</v>
      </c>
      <c r="B846" t="s">
        <v>1867</v>
      </c>
      <c r="C846" t="s">
        <v>1868</v>
      </c>
      <c r="D846" t="s">
        <v>25</v>
      </c>
      <c r="E846" t="s">
        <v>26</v>
      </c>
      <c r="F846" t="s">
        <v>17</v>
      </c>
      <c r="G846" t="str">
        <f>"02"</f>
        <v>02</v>
      </c>
      <c r="H846" t="str">
        <f>"7  "</f>
        <v xml:space="preserve">7  </v>
      </c>
      <c r="I846" t="str">
        <f>"2003/01/08"</f>
        <v>2003/01/08</v>
      </c>
      <c r="J846" t="str">
        <f>"110"</f>
        <v>110</v>
      </c>
      <c r="K846" t="s">
        <v>18</v>
      </c>
      <c r="L846" t="s">
        <v>18</v>
      </c>
      <c r="M846" t="str">
        <f>"20010930"</f>
        <v>20010930</v>
      </c>
    </row>
    <row r="847" spans="1:13" x14ac:dyDescent="0.25">
      <c r="A847" t="str">
        <f>"00337363"</f>
        <v>00337363</v>
      </c>
      <c r="B847" t="s">
        <v>1869</v>
      </c>
      <c r="C847" t="s">
        <v>55</v>
      </c>
      <c r="D847" t="s">
        <v>16</v>
      </c>
      <c r="E847" t="s">
        <v>16</v>
      </c>
      <c r="F847" t="s">
        <v>17</v>
      </c>
      <c r="G847" t="str">
        <f>"02"</f>
        <v>02</v>
      </c>
      <c r="H847" t="str">
        <f>"7  "</f>
        <v xml:space="preserve">7  </v>
      </c>
      <c r="I847" t="str">
        <f>"2014/12/18"</f>
        <v>2014/12/18</v>
      </c>
      <c r="J847" t="str">
        <f>"503"</f>
        <v>503</v>
      </c>
      <c r="K847" t="s">
        <v>18</v>
      </c>
      <c r="L847" t="s">
        <v>18</v>
      </c>
      <c r="M847" t="str">
        <f>"20000513"</f>
        <v>20000513</v>
      </c>
    </row>
    <row r="848" spans="1:13" x14ac:dyDescent="0.25">
      <c r="A848" t="str">
        <f>"00548932"</f>
        <v>00548932</v>
      </c>
      <c r="B848" t="s">
        <v>1871</v>
      </c>
      <c r="C848" t="s">
        <v>118</v>
      </c>
      <c r="D848" t="s">
        <v>45</v>
      </c>
      <c r="E848" t="s">
        <v>16</v>
      </c>
      <c r="F848" t="s">
        <v>17</v>
      </c>
      <c r="G848" t="str">
        <f>"02"</f>
        <v>02</v>
      </c>
      <c r="H848" t="str">
        <f>"3  "</f>
        <v xml:space="preserve">3  </v>
      </c>
      <c r="I848" t="str">
        <f>"2015/08/06"</f>
        <v>2015/08/06</v>
      </c>
      <c r="J848" t="str">
        <f>"510"</f>
        <v>510</v>
      </c>
      <c r="K848" t="str">
        <f>"20250613"</f>
        <v>20250613</v>
      </c>
      <c r="L848" t="s">
        <v>18</v>
      </c>
      <c r="M848" t="str">
        <f>"20130105"</f>
        <v>20130105</v>
      </c>
    </row>
    <row r="849" spans="1:13" x14ac:dyDescent="0.25">
      <c r="A849" t="str">
        <f>"00118362"</f>
        <v>00118362</v>
      </c>
      <c r="B849" t="s">
        <v>1873</v>
      </c>
      <c r="C849" t="s">
        <v>1829</v>
      </c>
      <c r="D849" t="s">
        <v>47</v>
      </c>
      <c r="E849" t="s">
        <v>26</v>
      </c>
      <c r="F849" t="s">
        <v>17</v>
      </c>
      <c r="G849" t="str">
        <f>"02"</f>
        <v>02</v>
      </c>
      <c r="H849" t="str">
        <f>"7  "</f>
        <v xml:space="preserve">7  </v>
      </c>
      <c r="I849" t="str">
        <f>"2005/08/12"</f>
        <v>2005/08/12</v>
      </c>
      <c r="J849" t="str">
        <f>"510"</f>
        <v>510</v>
      </c>
      <c r="K849" t="s">
        <v>18</v>
      </c>
      <c r="L849" t="s">
        <v>18</v>
      </c>
      <c r="M849" t="str">
        <f>"20030923"</f>
        <v>20030923</v>
      </c>
    </row>
    <row r="850" spans="1:13" x14ac:dyDescent="0.25">
      <c r="A850" t="str">
        <f>"00146624"</f>
        <v>00146624</v>
      </c>
      <c r="B850" t="s">
        <v>1873</v>
      </c>
      <c r="C850" t="s">
        <v>169</v>
      </c>
      <c r="D850" t="s">
        <v>61</v>
      </c>
      <c r="E850" t="s">
        <v>26</v>
      </c>
      <c r="F850" t="s">
        <v>17</v>
      </c>
      <c r="G850" t="str">
        <f>"02"</f>
        <v>02</v>
      </c>
      <c r="H850" t="str">
        <f>"3  "</f>
        <v xml:space="preserve">3  </v>
      </c>
      <c r="I850" t="str">
        <f>"2000/07/28"</f>
        <v>2000/07/28</v>
      </c>
      <c r="J850" t="str">
        <f>"110"</f>
        <v>110</v>
      </c>
      <c r="K850" t="str">
        <f>"20240809"</f>
        <v>20240809</v>
      </c>
      <c r="L850" t="s">
        <v>18</v>
      </c>
      <c r="M850" t="str">
        <f>"19991112"</f>
        <v>19991112</v>
      </c>
    </row>
    <row r="851" spans="1:13" x14ac:dyDescent="0.25">
      <c r="A851" t="str">
        <f>"00634445"</f>
        <v>00634445</v>
      </c>
      <c r="B851" t="s">
        <v>1877</v>
      </c>
      <c r="C851" t="s">
        <v>1878</v>
      </c>
      <c r="D851" t="s">
        <v>31</v>
      </c>
      <c r="E851" t="s">
        <v>26</v>
      </c>
      <c r="F851" t="s">
        <v>17</v>
      </c>
      <c r="G851" t="str">
        <f>"02"</f>
        <v>02</v>
      </c>
      <c r="H851" t="str">
        <f>"3  "</f>
        <v xml:space="preserve">3  </v>
      </c>
      <c r="I851" t="str">
        <f>"2009/01/13"</f>
        <v>2009/01/13</v>
      </c>
      <c r="J851" t="str">
        <f>"510"</f>
        <v>510</v>
      </c>
      <c r="K851" t="str">
        <f>"20311009"</f>
        <v>20311009</v>
      </c>
      <c r="L851" t="s">
        <v>18</v>
      </c>
      <c r="M851" t="str">
        <f>"20070404"</f>
        <v>20070404</v>
      </c>
    </row>
    <row r="852" spans="1:13" x14ac:dyDescent="0.25">
      <c r="A852" t="str">
        <f>"00181883"</f>
        <v>00181883</v>
      </c>
      <c r="B852" t="s">
        <v>1880</v>
      </c>
      <c r="C852" t="s">
        <v>484</v>
      </c>
      <c r="D852" t="s">
        <v>45</v>
      </c>
      <c r="E852" t="s">
        <v>26</v>
      </c>
      <c r="F852" t="s">
        <v>17</v>
      </c>
      <c r="G852" t="str">
        <f>"02"</f>
        <v>02</v>
      </c>
      <c r="H852" t="str">
        <f>"3  "</f>
        <v xml:space="preserve">3  </v>
      </c>
      <c r="I852" t="str">
        <f>"2006/11/22"</f>
        <v>2006/11/22</v>
      </c>
      <c r="J852" t="str">
        <f>"510"</f>
        <v>510</v>
      </c>
      <c r="K852" t="str">
        <f>"20260830"</f>
        <v>20260830</v>
      </c>
      <c r="L852" t="s">
        <v>18</v>
      </c>
      <c r="M852" t="str">
        <f>"20050720"</f>
        <v>20050720</v>
      </c>
    </row>
    <row r="853" spans="1:13" x14ac:dyDescent="0.25">
      <c r="A853" t="str">
        <f>"00190760"</f>
        <v>00190760</v>
      </c>
      <c r="B853" t="s">
        <v>1888</v>
      </c>
      <c r="C853" t="s">
        <v>55</v>
      </c>
      <c r="D853" t="s">
        <v>21</v>
      </c>
      <c r="E853" t="s">
        <v>16</v>
      </c>
      <c r="F853" t="s">
        <v>17</v>
      </c>
      <c r="G853" t="str">
        <f>"02"</f>
        <v>02</v>
      </c>
      <c r="H853" t="str">
        <f>"7  "</f>
        <v xml:space="preserve">7  </v>
      </c>
      <c r="I853" t="str">
        <f>"2017/06/29"</f>
        <v>2017/06/29</v>
      </c>
      <c r="J853" t="str">
        <f>"510"</f>
        <v>510</v>
      </c>
      <c r="K853" t="s">
        <v>18</v>
      </c>
      <c r="L853" t="s">
        <v>18</v>
      </c>
      <c r="M853" t="str">
        <f>"20160512"</f>
        <v>20160512</v>
      </c>
    </row>
    <row r="854" spans="1:13" x14ac:dyDescent="0.25">
      <c r="A854" t="str">
        <f>"00268480"</f>
        <v>00268480</v>
      </c>
      <c r="B854" t="s">
        <v>1892</v>
      </c>
      <c r="C854" t="s">
        <v>526</v>
      </c>
      <c r="D854" t="s">
        <v>37</v>
      </c>
      <c r="E854" t="s">
        <v>16</v>
      </c>
      <c r="F854" t="s">
        <v>17</v>
      </c>
      <c r="G854" t="str">
        <f>"02"</f>
        <v>02</v>
      </c>
      <c r="H854" t="str">
        <f>"3  "</f>
        <v xml:space="preserve">3  </v>
      </c>
      <c r="I854" t="str">
        <f>"2020/08/05"</f>
        <v>2020/08/05</v>
      </c>
      <c r="J854" t="str">
        <f>"533"</f>
        <v>533</v>
      </c>
      <c r="K854" t="str">
        <f>"20590114"</f>
        <v>20590114</v>
      </c>
      <c r="L854" t="s">
        <v>18</v>
      </c>
      <c r="M854" t="str">
        <f>"20140221"</f>
        <v>20140221</v>
      </c>
    </row>
    <row r="855" spans="1:13" x14ac:dyDescent="0.25">
      <c r="A855" t="str">
        <f>"00434422"</f>
        <v>00434422</v>
      </c>
      <c r="B855" t="s">
        <v>1894</v>
      </c>
      <c r="C855" t="s">
        <v>1897</v>
      </c>
      <c r="D855" t="s">
        <v>51</v>
      </c>
      <c r="E855" t="s">
        <v>26</v>
      </c>
      <c r="F855" t="s">
        <v>17</v>
      </c>
      <c r="G855" t="str">
        <f>"02"</f>
        <v>02</v>
      </c>
      <c r="H855" t="str">
        <f>"3  "</f>
        <v xml:space="preserve">3  </v>
      </c>
      <c r="I855" t="str">
        <f>"2020/09/02"</f>
        <v>2020/09/02</v>
      </c>
      <c r="J855" t="str">
        <f>"533"</f>
        <v>533</v>
      </c>
      <c r="K855" t="str">
        <f>"20290717"</f>
        <v>20290717</v>
      </c>
      <c r="L855" t="s">
        <v>18</v>
      </c>
      <c r="M855" t="str">
        <f>"20180620"</f>
        <v>20180620</v>
      </c>
    </row>
    <row r="856" spans="1:13" x14ac:dyDescent="0.25">
      <c r="A856" t="str">
        <f>"00207187"</f>
        <v>00207187</v>
      </c>
      <c r="B856" t="s">
        <v>1898</v>
      </c>
      <c r="C856" t="s">
        <v>471</v>
      </c>
      <c r="D856" t="s">
        <v>45</v>
      </c>
      <c r="E856" t="s">
        <v>26</v>
      </c>
      <c r="F856" t="s">
        <v>17</v>
      </c>
      <c r="G856" t="str">
        <f>"02"</f>
        <v>02</v>
      </c>
      <c r="H856" t="str">
        <f>"3  "</f>
        <v xml:space="preserve">3  </v>
      </c>
      <c r="I856" t="str">
        <f>"2018/09/04"</f>
        <v>2018/09/04</v>
      </c>
      <c r="J856" t="str">
        <f>"503"</f>
        <v>503</v>
      </c>
      <c r="K856" t="str">
        <f>"20340105"</f>
        <v>20340105</v>
      </c>
      <c r="L856" t="s">
        <v>18</v>
      </c>
      <c r="M856" t="str">
        <f>"20120515"</f>
        <v>20120515</v>
      </c>
    </row>
    <row r="857" spans="1:13" x14ac:dyDescent="0.25">
      <c r="A857" t="str">
        <f>"00312302"</f>
        <v>00312302</v>
      </c>
      <c r="B857" t="s">
        <v>1898</v>
      </c>
      <c r="C857" t="s">
        <v>655</v>
      </c>
      <c r="D857" t="s">
        <v>15</v>
      </c>
      <c r="E857" t="s">
        <v>26</v>
      </c>
      <c r="F857" t="s">
        <v>17</v>
      </c>
      <c r="G857" t="str">
        <f>"02"</f>
        <v>02</v>
      </c>
      <c r="H857" t="str">
        <f>"3  "</f>
        <v xml:space="preserve">3  </v>
      </c>
      <c r="I857" t="str">
        <f>"2007/08/31"</f>
        <v>2007/08/31</v>
      </c>
      <c r="J857" t="str">
        <f>"503"</f>
        <v>503</v>
      </c>
      <c r="K857" t="str">
        <f>"20341022"</f>
        <v>20341022</v>
      </c>
      <c r="L857" t="s">
        <v>18</v>
      </c>
      <c r="M857" t="str">
        <f>"20070119"</f>
        <v>20070119</v>
      </c>
    </row>
    <row r="858" spans="1:13" x14ac:dyDescent="0.25">
      <c r="A858" t="str">
        <f>"00363444"</f>
        <v>00363444</v>
      </c>
      <c r="B858" t="s">
        <v>1898</v>
      </c>
      <c r="C858" t="s">
        <v>1901</v>
      </c>
      <c r="D858" t="s">
        <v>15</v>
      </c>
      <c r="E858" t="s">
        <v>26</v>
      </c>
      <c r="F858" t="s">
        <v>17</v>
      </c>
      <c r="G858" t="str">
        <f>"02"</f>
        <v>02</v>
      </c>
      <c r="H858" t="str">
        <f>"3  "</f>
        <v xml:space="preserve">3  </v>
      </c>
      <c r="I858" t="str">
        <f>"2019/12/31"</f>
        <v>2019/12/31</v>
      </c>
      <c r="J858" t="str">
        <f>"510"</f>
        <v>510</v>
      </c>
      <c r="K858" t="str">
        <f>"20211015"</f>
        <v>20211015</v>
      </c>
      <c r="L858" t="s">
        <v>18</v>
      </c>
      <c r="M858" t="str">
        <f>"20141130"</f>
        <v>20141130</v>
      </c>
    </row>
    <row r="859" spans="1:13" x14ac:dyDescent="0.25">
      <c r="A859" t="str">
        <f>"00831472"</f>
        <v>00831472</v>
      </c>
      <c r="B859" t="s">
        <v>1905</v>
      </c>
      <c r="C859" t="s">
        <v>169</v>
      </c>
      <c r="D859" t="s">
        <v>40</v>
      </c>
      <c r="E859" t="s">
        <v>16</v>
      </c>
      <c r="F859" t="s">
        <v>17</v>
      </c>
      <c r="G859" t="str">
        <f>"02"</f>
        <v>02</v>
      </c>
      <c r="H859" t="str">
        <f>"3  "</f>
        <v xml:space="preserve">3  </v>
      </c>
      <c r="I859" t="str">
        <f>"2020/08/05"</f>
        <v>2020/08/05</v>
      </c>
      <c r="J859" t="str">
        <f>"533"</f>
        <v>533</v>
      </c>
      <c r="K859" t="str">
        <f>"20250508"</f>
        <v>20250508</v>
      </c>
      <c r="L859" t="s">
        <v>18</v>
      </c>
      <c r="M859" t="str">
        <f>"20160628"</f>
        <v>20160628</v>
      </c>
    </row>
    <row r="860" spans="1:13" x14ac:dyDescent="0.25">
      <c r="A860" t="str">
        <f>"00880813"</f>
        <v>00880813</v>
      </c>
      <c r="B860" t="s">
        <v>1912</v>
      </c>
      <c r="C860" t="s">
        <v>316</v>
      </c>
      <c r="D860" t="s">
        <v>25</v>
      </c>
      <c r="E860" t="s">
        <v>16</v>
      </c>
      <c r="F860" t="s">
        <v>17</v>
      </c>
      <c r="G860" t="str">
        <f>"02"</f>
        <v>02</v>
      </c>
      <c r="H860" t="str">
        <f>"3  "</f>
        <v xml:space="preserve">3  </v>
      </c>
      <c r="I860" t="str">
        <f>"2019/02/15"</f>
        <v>2019/02/15</v>
      </c>
      <c r="J860" t="str">
        <f>"503"</f>
        <v>503</v>
      </c>
      <c r="K860" t="str">
        <f>"20250716"</f>
        <v>20250716</v>
      </c>
      <c r="L860" t="s">
        <v>18</v>
      </c>
      <c r="M860" t="str">
        <f>"20180517"</f>
        <v>20180517</v>
      </c>
    </row>
    <row r="861" spans="1:13" x14ac:dyDescent="0.25">
      <c r="A861" t="str">
        <f>"00374857"</f>
        <v>00374857</v>
      </c>
      <c r="B861" t="s">
        <v>1913</v>
      </c>
      <c r="C861" t="s">
        <v>1914</v>
      </c>
      <c r="D861" t="s">
        <v>51</v>
      </c>
      <c r="E861" t="s">
        <v>16</v>
      </c>
      <c r="F861" t="s">
        <v>17</v>
      </c>
      <c r="G861" t="str">
        <f>"02"</f>
        <v>02</v>
      </c>
      <c r="H861" t="str">
        <f>"3  "</f>
        <v xml:space="preserve">3  </v>
      </c>
      <c r="I861" t="str">
        <f>"2020/08/18"</f>
        <v>2020/08/18</v>
      </c>
      <c r="J861" t="str">
        <f>"510"</f>
        <v>510</v>
      </c>
      <c r="K861" t="str">
        <f>"20220824"</f>
        <v>20220824</v>
      </c>
      <c r="L861" t="s">
        <v>18</v>
      </c>
      <c r="M861" t="str">
        <f>"20190208"</f>
        <v>20190208</v>
      </c>
    </row>
    <row r="862" spans="1:13" x14ac:dyDescent="0.25">
      <c r="A862" t="str">
        <f>"00265828"</f>
        <v>00265828</v>
      </c>
      <c r="B862" t="s">
        <v>1913</v>
      </c>
      <c r="C862" t="s">
        <v>140</v>
      </c>
      <c r="D862" t="s">
        <v>31</v>
      </c>
      <c r="E862" t="s">
        <v>26</v>
      </c>
      <c r="F862" t="s">
        <v>17</v>
      </c>
      <c r="G862" t="str">
        <f>"02"</f>
        <v>02</v>
      </c>
      <c r="H862" t="str">
        <f>"3  "</f>
        <v xml:space="preserve">3  </v>
      </c>
      <c r="I862" t="str">
        <f>"2006/09/12"</f>
        <v>2006/09/12</v>
      </c>
      <c r="J862" t="str">
        <f>"510"</f>
        <v>510</v>
      </c>
      <c r="K862" t="str">
        <f>"20510607"</f>
        <v>20510607</v>
      </c>
      <c r="L862" t="s">
        <v>18</v>
      </c>
      <c r="M862" t="str">
        <f>"20040527"</f>
        <v>20040527</v>
      </c>
    </row>
    <row r="863" spans="1:13" x14ac:dyDescent="0.25">
      <c r="A863" t="str">
        <f>"00501352"</f>
        <v>00501352</v>
      </c>
      <c r="B863" t="s">
        <v>1918</v>
      </c>
      <c r="C863" t="s">
        <v>146</v>
      </c>
      <c r="D863" t="s">
        <v>25</v>
      </c>
      <c r="E863" t="s">
        <v>16</v>
      </c>
      <c r="F863" t="s">
        <v>17</v>
      </c>
      <c r="G863" t="str">
        <f>"02"</f>
        <v>02</v>
      </c>
      <c r="H863" t="str">
        <f>"3  "</f>
        <v xml:space="preserve">3  </v>
      </c>
      <c r="I863" t="str">
        <f>"2008/04/08"</f>
        <v>2008/04/08</v>
      </c>
      <c r="J863" t="str">
        <f>"110"</f>
        <v>110</v>
      </c>
      <c r="K863" t="str">
        <f>"20260316"</f>
        <v>20260316</v>
      </c>
      <c r="L863" t="s">
        <v>18</v>
      </c>
      <c r="M863" t="str">
        <f>"20080407"</f>
        <v>20080407</v>
      </c>
    </row>
    <row r="864" spans="1:13" x14ac:dyDescent="0.25">
      <c r="A864" t="str">
        <f>"00136991"</f>
        <v>00136991</v>
      </c>
      <c r="B864" t="s">
        <v>1919</v>
      </c>
      <c r="C864" t="s">
        <v>150</v>
      </c>
      <c r="D864" t="s">
        <v>61</v>
      </c>
      <c r="E864" t="s">
        <v>16</v>
      </c>
      <c r="F864" t="s">
        <v>17</v>
      </c>
      <c r="G864" t="str">
        <f>"02"</f>
        <v>02</v>
      </c>
      <c r="H864" t="str">
        <f>"7  "</f>
        <v xml:space="preserve">7  </v>
      </c>
      <c r="I864" t="str">
        <f>"2011/10/13"</f>
        <v>2011/10/13</v>
      </c>
      <c r="J864" t="str">
        <f>"533"</f>
        <v>533</v>
      </c>
      <c r="K864" t="s">
        <v>18</v>
      </c>
      <c r="L864" t="s">
        <v>18</v>
      </c>
      <c r="M864" t="str">
        <f>"19781108"</f>
        <v>19781108</v>
      </c>
    </row>
    <row r="865" spans="1:13" x14ac:dyDescent="0.25">
      <c r="A865" t="str">
        <f>"00354099"</f>
        <v>00354099</v>
      </c>
      <c r="B865" t="s">
        <v>1920</v>
      </c>
      <c r="C865" t="s">
        <v>169</v>
      </c>
      <c r="D865" t="s">
        <v>47</v>
      </c>
      <c r="E865" t="s">
        <v>26</v>
      </c>
      <c r="F865" t="s">
        <v>17</v>
      </c>
      <c r="G865" t="str">
        <f>"02"</f>
        <v>02</v>
      </c>
      <c r="H865" t="str">
        <f>"3  "</f>
        <v xml:space="preserve">3  </v>
      </c>
      <c r="I865" t="str">
        <f>"2012/07/18"</f>
        <v>2012/07/18</v>
      </c>
      <c r="J865" t="str">
        <f>"110"</f>
        <v>110</v>
      </c>
      <c r="K865" t="str">
        <f>"20231214"</f>
        <v>20231214</v>
      </c>
      <c r="L865" t="s">
        <v>18</v>
      </c>
      <c r="M865" t="str">
        <f>"20110317"</f>
        <v>20110317</v>
      </c>
    </row>
    <row r="866" spans="1:13" x14ac:dyDescent="0.25">
      <c r="A866" t="str">
        <f>"00509623"</f>
        <v>00509623</v>
      </c>
      <c r="B866" t="s">
        <v>1927</v>
      </c>
      <c r="C866" t="s">
        <v>1069</v>
      </c>
      <c r="D866" t="s">
        <v>61</v>
      </c>
      <c r="E866" t="s">
        <v>26</v>
      </c>
      <c r="F866" t="s">
        <v>17</v>
      </c>
      <c r="G866" t="str">
        <f>"02"</f>
        <v>02</v>
      </c>
      <c r="H866" t="str">
        <f>"3  "</f>
        <v xml:space="preserve">3  </v>
      </c>
      <c r="I866" t="str">
        <f>"2013/11/21"</f>
        <v>2013/11/21</v>
      </c>
      <c r="J866" t="str">
        <f>"503"</f>
        <v>503</v>
      </c>
      <c r="K866" t="str">
        <f>"20220102"</f>
        <v>20220102</v>
      </c>
      <c r="L866" t="s">
        <v>18</v>
      </c>
      <c r="M866" t="str">
        <f>"20130315"</f>
        <v>20130315</v>
      </c>
    </row>
    <row r="867" spans="1:13" x14ac:dyDescent="0.25">
      <c r="A867" t="str">
        <f>"00550535"</f>
        <v>00550535</v>
      </c>
      <c r="B867" t="s">
        <v>1930</v>
      </c>
      <c r="C867" t="s">
        <v>148</v>
      </c>
      <c r="D867" t="s">
        <v>73</v>
      </c>
      <c r="E867" t="s">
        <v>16</v>
      </c>
      <c r="F867" t="s">
        <v>17</v>
      </c>
      <c r="G867" t="str">
        <f>"02"</f>
        <v>02</v>
      </c>
      <c r="H867" t="str">
        <f>"3  "</f>
        <v xml:space="preserve">3  </v>
      </c>
      <c r="I867" t="str">
        <f>"2016/07/15"</f>
        <v>2016/07/15</v>
      </c>
      <c r="J867" t="str">
        <f>"110"</f>
        <v>110</v>
      </c>
      <c r="K867" t="str">
        <f>"20280918"</f>
        <v>20280918</v>
      </c>
      <c r="L867" t="s">
        <v>18</v>
      </c>
      <c r="M867" t="str">
        <f>"20150805"</f>
        <v>20150805</v>
      </c>
    </row>
    <row r="868" spans="1:13" x14ac:dyDescent="0.25">
      <c r="A868" t="str">
        <f>"00167546"</f>
        <v>00167546</v>
      </c>
      <c r="B868" t="s">
        <v>1931</v>
      </c>
      <c r="C868" t="s">
        <v>883</v>
      </c>
      <c r="D868" t="s">
        <v>142</v>
      </c>
      <c r="E868" t="s">
        <v>26</v>
      </c>
      <c r="F868" t="s">
        <v>17</v>
      </c>
      <c r="G868" t="str">
        <f>"02"</f>
        <v>02</v>
      </c>
      <c r="H868" t="str">
        <f>"7  "</f>
        <v xml:space="preserve">7  </v>
      </c>
      <c r="I868" t="str">
        <f>"1999/05/13"</f>
        <v>1999/05/13</v>
      </c>
      <c r="J868" t="str">
        <f>"533"</f>
        <v>533</v>
      </c>
      <c r="K868" t="s">
        <v>18</v>
      </c>
      <c r="L868" t="str">
        <f>"20090510"</f>
        <v>20090510</v>
      </c>
      <c r="M868" t="str">
        <f>"19860511"</f>
        <v>19860511</v>
      </c>
    </row>
    <row r="869" spans="1:13" x14ac:dyDescent="0.25">
      <c r="A869" t="str">
        <f>"00318086"</f>
        <v>00318086</v>
      </c>
      <c r="B869" t="s">
        <v>1941</v>
      </c>
      <c r="C869" t="s">
        <v>59</v>
      </c>
      <c r="D869" t="s">
        <v>15</v>
      </c>
      <c r="E869" t="s">
        <v>26</v>
      </c>
      <c r="F869" t="s">
        <v>17</v>
      </c>
      <c r="G869" t="str">
        <f>"02"</f>
        <v>02</v>
      </c>
      <c r="H869" t="str">
        <f>"3  "</f>
        <v xml:space="preserve">3  </v>
      </c>
      <c r="I869" t="str">
        <f>"2019/04/01"</f>
        <v>2019/04/01</v>
      </c>
      <c r="J869" t="str">
        <f>"510"</f>
        <v>510</v>
      </c>
      <c r="K869" t="str">
        <f>"20600525"</f>
        <v>20600525</v>
      </c>
      <c r="L869" t="s">
        <v>18</v>
      </c>
      <c r="M869" t="str">
        <f>"20170308"</f>
        <v>20170308</v>
      </c>
    </row>
    <row r="870" spans="1:13" x14ac:dyDescent="0.25">
      <c r="A870" t="str">
        <f>"00749090"</f>
        <v>00749090</v>
      </c>
      <c r="B870" t="s">
        <v>1941</v>
      </c>
      <c r="C870" t="s">
        <v>168</v>
      </c>
      <c r="D870" t="s">
        <v>21</v>
      </c>
      <c r="E870" t="s">
        <v>26</v>
      </c>
      <c r="F870" t="s">
        <v>17</v>
      </c>
      <c r="G870" t="str">
        <f>"02"</f>
        <v>02</v>
      </c>
      <c r="H870" t="str">
        <f>"3  "</f>
        <v xml:space="preserve">3  </v>
      </c>
      <c r="I870" t="str">
        <f>"2019/04/22"</f>
        <v>2019/04/22</v>
      </c>
      <c r="J870" t="str">
        <f>"503"</f>
        <v>503</v>
      </c>
      <c r="K870" t="str">
        <f>"20210405"</f>
        <v>20210405</v>
      </c>
      <c r="L870" t="s">
        <v>18</v>
      </c>
      <c r="M870" t="str">
        <f>"20180715"</f>
        <v>20180715</v>
      </c>
    </row>
    <row r="871" spans="1:13" x14ac:dyDescent="0.25">
      <c r="A871" t="str">
        <f>"00342123"</f>
        <v>00342123</v>
      </c>
      <c r="B871" t="s">
        <v>1947</v>
      </c>
      <c r="C871" t="s">
        <v>136</v>
      </c>
      <c r="D871" t="s">
        <v>25</v>
      </c>
      <c r="E871" t="s">
        <v>26</v>
      </c>
      <c r="F871" t="s">
        <v>17</v>
      </c>
      <c r="G871" t="str">
        <f>"02"</f>
        <v>02</v>
      </c>
      <c r="H871" t="str">
        <f>"3  "</f>
        <v xml:space="preserve">3  </v>
      </c>
      <c r="I871" t="str">
        <f>"2007/06/22"</f>
        <v>2007/06/22</v>
      </c>
      <c r="J871" t="str">
        <f>"110"</f>
        <v>110</v>
      </c>
      <c r="K871" t="str">
        <f>"20360207"</f>
        <v>20360207</v>
      </c>
      <c r="L871" t="s">
        <v>18</v>
      </c>
      <c r="M871" t="str">
        <f>"20060205"</f>
        <v>20060205</v>
      </c>
    </row>
    <row r="872" spans="1:13" x14ac:dyDescent="0.25">
      <c r="A872" t="str">
        <f>"00399190"</f>
        <v>00399190</v>
      </c>
      <c r="B872" t="s">
        <v>1948</v>
      </c>
      <c r="C872" t="s">
        <v>302</v>
      </c>
      <c r="D872" t="s">
        <v>61</v>
      </c>
      <c r="E872" t="s">
        <v>26</v>
      </c>
      <c r="F872" t="s">
        <v>17</v>
      </c>
      <c r="G872" t="str">
        <f>"02"</f>
        <v>02</v>
      </c>
      <c r="H872" t="str">
        <f>"3  "</f>
        <v xml:space="preserve">3  </v>
      </c>
      <c r="I872" t="str">
        <f>"2009/12/03"</f>
        <v>2009/12/03</v>
      </c>
      <c r="J872" t="str">
        <f>"110"</f>
        <v>110</v>
      </c>
      <c r="K872" t="str">
        <f>"20411210"</f>
        <v>20411210</v>
      </c>
      <c r="L872" t="s">
        <v>18</v>
      </c>
      <c r="M872" t="str">
        <f>"20090615"</f>
        <v>20090615</v>
      </c>
    </row>
    <row r="873" spans="1:13" x14ac:dyDescent="0.25">
      <c r="A873" t="str">
        <f>"00599619"</f>
        <v>00599619</v>
      </c>
      <c r="B873" t="s">
        <v>1948</v>
      </c>
      <c r="C873" t="s">
        <v>49</v>
      </c>
      <c r="D873" t="s">
        <v>21</v>
      </c>
      <c r="E873" t="s">
        <v>26</v>
      </c>
      <c r="F873" t="s">
        <v>17</v>
      </c>
      <c r="G873" t="str">
        <f>"02"</f>
        <v>02</v>
      </c>
      <c r="H873" t="str">
        <f>"3  "</f>
        <v xml:space="preserve">3  </v>
      </c>
      <c r="I873" t="str">
        <f>"2020/01/24"</f>
        <v>2020/01/24</v>
      </c>
      <c r="J873" t="str">
        <f>"510"</f>
        <v>510</v>
      </c>
      <c r="K873" t="str">
        <f>"20260701"</f>
        <v>20260701</v>
      </c>
      <c r="L873" t="s">
        <v>18</v>
      </c>
      <c r="M873" t="str">
        <f>"20170705"</f>
        <v>20170705</v>
      </c>
    </row>
    <row r="874" spans="1:13" x14ac:dyDescent="0.25">
      <c r="A874" t="str">
        <f>"00552202"</f>
        <v>00552202</v>
      </c>
      <c r="B874" t="s">
        <v>1966</v>
      </c>
      <c r="C874" t="s">
        <v>280</v>
      </c>
      <c r="D874" t="s">
        <v>25</v>
      </c>
      <c r="E874" t="s">
        <v>26</v>
      </c>
      <c r="F874" t="s">
        <v>17</v>
      </c>
      <c r="G874" t="str">
        <f>"02"</f>
        <v>02</v>
      </c>
      <c r="H874" t="str">
        <f>"0  "</f>
        <v xml:space="preserve">0  </v>
      </c>
      <c r="I874" t="str">
        <f>"2020/07/21"</f>
        <v>2020/07/21</v>
      </c>
      <c r="J874" t="str">
        <f>"510"</f>
        <v>510</v>
      </c>
      <c r="K874" t="s">
        <v>18</v>
      </c>
      <c r="L874" t="s">
        <v>18</v>
      </c>
      <c r="M874" t="s">
        <v>18</v>
      </c>
    </row>
    <row r="875" spans="1:13" x14ac:dyDescent="0.25">
      <c r="A875" t="str">
        <f>"00362594"</f>
        <v>00362594</v>
      </c>
      <c r="B875" t="s">
        <v>1972</v>
      </c>
      <c r="C875" t="s">
        <v>1974</v>
      </c>
      <c r="D875" t="s">
        <v>40</v>
      </c>
      <c r="E875" t="s">
        <v>26</v>
      </c>
      <c r="F875" t="s">
        <v>17</v>
      </c>
      <c r="G875" t="str">
        <f>"02"</f>
        <v>02</v>
      </c>
      <c r="H875" t="str">
        <f>"3  "</f>
        <v xml:space="preserve">3  </v>
      </c>
      <c r="I875" t="str">
        <f>"2010/07/20"</f>
        <v>2010/07/20</v>
      </c>
      <c r="J875" t="str">
        <f>"510"</f>
        <v>510</v>
      </c>
      <c r="K875" t="str">
        <f>"20231222"</f>
        <v>20231222</v>
      </c>
      <c r="L875" t="s">
        <v>18</v>
      </c>
      <c r="M875" t="str">
        <f>"20080813"</f>
        <v>20080813</v>
      </c>
    </row>
    <row r="876" spans="1:13" x14ac:dyDescent="0.25">
      <c r="A876" t="str">
        <f>"00231862"</f>
        <v>00231862</v>
      </c>
      <c r="B876" t="s">
        <v>1975</v>
      </c>
      <c r="C876" t="s">
        <v>1976</v>
      </c>
      <c r="D876" t="s">
        <v>25</v>
      </c>
      <c r="E876" t="s">
        <v>26</v>
      </c>
      <c r="F876" t="s">
        <v>17</v>
      </c>
      <c r="G876" t="str">
        <f>"02"</f>
        <v>02</v>
      </c>
      <c r="H876" t="str">
        <f>"3  "</f>
        <v xml:space="preserve">3  </v>
      </c>
      <c r="I876" t="str">
        <f>"2017/09/05"</f>
        <v>2017/09/05</v>
      </c>
      <c r="J876" t="str">
        <f>"110"</f>
        <v>110</v>
      </c>
      <c r="K876" t="str">
        <f>"20211106"</f>
        <v>20211106</v>
      </c>
      <c r="L876" t="s">
        <v>18</v>
      </c>
      <c r="M876" t="str">
        <f>"20170831"</f>
        <v>20170831</v>
      </c>
    </row>
    <row r="877" spans="1:13" x14ac:dyDescent="0.25">
      <c r="A877" t="str">
        <f>"00268302"</f>
        <v>00268302</v>
      </c>
      <c r="B877" t="s">
        <v>1980</v>
      </c>
      <c r="C877" t="s">
        <v>60</v>
      </c>
      <c r="D877" t="s">
        <v>25</v>
      </c>
      <c r="E877" t="s">
        <v>16</v>
      </c>
      <c r="F877" t="s">
        <v>17</v>
      </c>
      <c r="G877" t="str">
        <f>"02"</f>
        <v>02</v>
      </c>
      <c r="H877" t="str">
        <f>"3  "</f>
        <v xml:space="preserve">3  </v>
      </c>
      <c r="I877" t="str">
        <f>"2019/04/05"</f>
        <v>2019/04/05</v>
      </c>
      <c r="J877" t="str">
        <f>"510"</f>
        <v>510</v>
      </c>
      <c r="K877" t="str">
        <f>"20361008"</f>
        <v>20361008</v>
      </c>
      <c r="L877" t="s">
        <v>18</v>
      </c>
      <c r="M877" t="str">
        <f>"20170106"</f>
        <v>20170106</v>
      </c>
    </row>
    <row r="878" spans="1:13" x14ac:dyDescent="0.25">
      <c r="A878" t="str">
        <f>"00148032"</f>
        <v>00148032</v>
      </c>
      <c r="B878" t="s">
        <v>1984</v>
      </c>
      <c r="C878" t="s">
        <v>72</v>
      </c>
      <c r="D878" t="s">
        <v>61</v>
      </c>
      <c r="E878" t="s">
        <v>26</v>
      </c>
      <c r="F878" t="s">
        <v>17</v>
      </c>
      <c r="G878" t="str">
        <f>"02"</f>
        <v>02</v>
      </c>
      <c r="H878" t="str">
        <f>"7  "</f>
        <v xml:space="preserve">7  </v>
      </c>
      <c r="I878" t="str">
        <f>"1999/03/09"</f>
        <v>1999/03/09</v>
      </c>
      <c r="J878" t="str">
        <f>"534"</f>
        <v>534</v>
      </c>
      <c r="K878" t="s">
        <v>18</v>
      </c>
      <c r="L878" t="s">
        <v>18</v>
      </c>
      <c r="M878" t="str">
        <f>"19950602"</f>
        <v>19950602</v>
      </c>
    </row>
    <row r="879" spans="1:13" x14ac:dyDescent="0.25">
      <c r="A879" t="str">
        <f>"00567972"</f>
        <v>00567972</v>
      </c>
      <c r="B879" t="s">
        <v>1986</v>
      </c>
      <c r="C879" t="s">
        <v>148</v>
      </c>
      <c r="D879" t="s">
        <v>53</v>
      </c>
      <c r="E879" t="s">
        <v>26</v>
      </c>
      <c r="F879" t="s">
        <v>17</v>
      </c>
      <c r="G879" t="str">
        <f>"02"</f>
        <v>02</v>
      </c>
      <c r="H879" t="str">
        <f>"3  "</f>
        <v xml:space="preserve">3  </v>
      </c>
      <c r="I879" t="str">
        <f>"2019/10/09"</f>
        <v>2019/10/09</v>
      </c>
      <c r="J879" t="str">
        <f>"533"</f>
        <v>533</v>
      </c>
      <c r="K879" t="str">
        <f>"20270921"</f>
        <v>20270921</v>
      </c>
      <c r="L879" t="s">
        <v>18</v>
      </c>
      <c r="M879" t="str">
        <f>"20100204"</f>
        <v>20100204</v>
      </c>
    </row>
    <row r="880" spans="1:13" x14ac:dyDescent="0.25">
      <c r="A880" t="str">
        <f>"00784465"</f>
        <v>00784465</v>
      </c>
      <c r="B880" t="s">
        <v>1986</v>
      </c>
      <c r="C880" t="s">
        <v>22</v>
      </c>
      <c r="D880" t="s">
        <v>51</v>
      </c>
      <c r="E880" t="s">
        <v>16</v>
      </c>
      <c r="F880" t="s">
        <v>17</v>
      </c>
      <c r="G880" t="str">
        <f>"02"</f>
        <v>02</v>
      </c>
      <c r="H880" t="str">
        <f>"3  "</f>
        <v xml:space="preserve">3  </v>
      </c>
      <c r="I880" t="str">
        <f>"2016/06/09"</f>
        <v>2016/06/09</v>
      </c>
      <c r="J880" t="str">
        <f>"110"</f>
        <v>110</v>
      </c>
      <c r="K880" t="str">
        <f>"20220215"</f>
        <v>20220215</v>
      </c>
      <c r="L880" t="s">
        <v>18</v>
      </c>
      <c r="M880" t="str">
        <f>"20160223"</f>
        <v>20160223</v>
      </c>
    </row>
    <row r="881" spans="1:13" x14ac:dyDescent="0.25">
      <c r="A881" t="str">
        <f>"00154879"</f>
        <v>00154879</v>
      </c>
      <c r="B881" t="s">
        <v>1996</v>
      </c>
      <c r="C881" t="s">
        <v>150</v>
      </c>
      <c r="D881" t="s">
        <v>31</v>
      </c>
      <c r="E881" t="s">
        <v>16</v>
      </c>
      <c r="F881" t="s">
        <v>17</v>
      </c>
      <c r="G881" t="str">
        <f>"02"</f>
        <v>02</v>
      </c>
      <c r="H881" t="str">
        <f>"3  "</f>
        <v xml:space="preserve">3  </v>
      </c>
      <c r="I881" t="str">
        <f>"1990/08/31"</f>
        <v>1990/08/31</v>
      </c>
      <c r="J881" t="str">
        <f>"502"</f>
        <v>502</v>
      </c>
      <c r="K881" t="str">
        <f>"20471024"</f>
        <v>20471024</v>
      </c>
      <c r="L881" t="s">
        <v>18</v>
      </c>
      <c r="M881" t="str">
        <f>"19900215"</f>
        <v>19900215</v>
      </c>
    </row>
    <row r="882" spans="1:13" x14ac:dyDescent="0.25">
      <c r="A882" t="str">
        <f>"00460524"</f>
        <v>00460524</v>
      </c>
      <c r="B882" t="s">
        <v>1997</v>
      </c>
      <c r="C882" t="s">
        <v>1998</v>
      </c>
      <c r="D882" t="s">
        <v>21</v>
      </c>
      <c r="E882" t="s">
        <v>16</v>
      </c>
      <c r="F882" t="s">
        <v>17</v>
      </c>
      <c r="G882" t="str">
        <f>"02"</f>
        <v>02</v>
      </c>
      <c r="H882" t="str">
        <f>"7  "</f>
        <v xml:space="preserve">7  </v>
      </c>
      <c r="I882" t="str">
        <f>"2012/02/20"</f>
        <v>2012/02/20</v>
      </c>
      <c r="J882" t="str">
        <f>"110"</f>
        <v>110</v>
      </c>
      <c r="K882" t="s">
        <v>18</v>
      </c>
      <c r="L882" t="s">
        <v>18</v>
      </c>
      <c r="M882" t="str">
        <f>"20100622"</f>
        <v>20100622</v>
      </c>
    </row>
    <row r="883" spans="1:13" x14ac:dyDescent="0.25">
      <c r="A883" t="str">
        <f>"00337191"</f>
        <v>00337191</v>
      </c>
      <c r="B883" t="s">
        <v>1997</v>
      </c>
      <c r="C883" t="s">
        <v>1999</v>
      </c>
      <c r="D883" t="s">
        <v>25</v>
      </c>
      <c r="E883" t="s">
        <v>26</v>
      </c>
      <c r="F883" t="s">
        <v>17</v>
      </c>
      <c r="G883" t="str">
        <f>"02"</f>
        <v>02</v>
      </c>
      <c r="H883" t="str">
        <f>"7  "</f>
        <v xml:space="preserve">7  </v>
      </c>
      <c r="I883" t="str">
        <f>"2010/07/01"</f>
        <v>2010/07/01</v>
      </c>
      <c r="J883" t="str">
        <f>"110"</f>
        <v>110</v>
      </c>
      <c r="K883" t="s">
        <v>18</v>
      </c>
      <c r="L883" t="s">
        <v>18</v>
      </c>
      <c r="M883" t="str">
        <f>"20090625"</f>
        <v>20090625</v>
      </c>
    </row>
    <row r="884" spans="1:13" x14ac:dyDescent="0.25">
      <c r="A884" t="str">
        <f>"00196915"</f>
        <v>00196915</v>
      </c>
      <c r="B884" t="s">
        <v>1997</v>
      </c>
      <c r="C884" t="s">
        <v>148</v>
      </c>
      <c r="D884" t="s">
        <v>51</v>
      </c>
      <c r="E884" t="s">
        <v>26</v>
      </c>
      <c r="F884" t="s">
        <v>17</v>
      </c>
      <c r="G884" t="str">
        <f>"02"</f>
        <v>02</v>
      </c>
      <c r="H884" t="str">
        <f>"3  "</f>
        <v xml:space="preserve">3  </v>
      </c>
      <c r="I884" t="str">
        <f>"2018/12/03"</f>
        <v>2018/12/03</v>
      </c>
      <c r="J884" t="str">
        <f>"510"</f>
        <v>510</v>
      </c>
      <c r="K884" t="str">
        <f>"20301024"</f>
        <v>20301024</v>
      </c>
      <c r="L884" t="s">
        <v>18</v>
      </c>
      <c r="M884" t="str">
        <f>"20170419"</f>
        <v>20170419</v>
      </c>
    </row>
    <row r="885" spans="1:13" x14ac:dyDescent="0.25">
      <c r="A885" t="str">
        <f>"00561603"</f>
        <v>00561603</v>
      </c>
      <c r="B885" t="s">
        <v>1997</v>
      </c>
      <c r="C885" t="s">
        <v>2000</v>
      </c>
      <c r="D885" t="s">
        <v>51</v>
      </c>
      <c r="E885" t="s">
        <v>26</v>
      </c>
      <c r="F885" t="s">
        <v>17</v>
      </c>
      <c r="G885" t="str">
        <f>"02"</f>
        <v>02</v>
      </c>
      <c r="H885" t="str">
        <f>"3  "</f>
        <v xml:space="preserve">3  </v>
      </c>
      <c r="I885" t="str">
        <f>"2016/07/28"</f>
        <v>2016/07/28</v>
      </c>
      <c r="J885" t="str">
        <f>"534"</f>
        <v>534</v>
      </c>
      <c r="K885" t="str">
        <f>"20230815"</f>
        <v>20230815</v>
      </c>
      <c r="L885" t="s">
        <v>18</v>
      </c>
      <c r="M885" t="str">
        <f>"20120531"</f>
        <v>20120531</v>
      </c>
    </row>
    <row r="886" spans="1:13" x14ac:dyDescent="0.25">
      <c r="A886" t="str">
        <f>"00286999"</f>
        <v>00286999</v>
      </c>
      <c r="B886" t="s">
        <v>2002</v>
      </c>
      <c r="C886" t="s">
        <v>790</v>
      </c>
      <c r="D886" t="s">
        <v>25</v>
      </c>
      <c r="E886" t="s">
        <v>26</v>
      </c>
      <c r="F886" t="s">
        <v>17</v>
      </c>
      <c r="G886" t="str">
        <f>"02"</f>
        <v>02</v>
      </c>
      <c r="H886" t="str">
        <f>"3  "</f>
        <v xml:space="preserve">3  </v>
      </c>
      <c r="I886" t="str">
        <f>"2019/08/23"</f>
        <v>2019/08/23</v>
      </c>
      <c r="J886" t="str">
        <f>"510"</f>
        <v>510</v>
      </c>
      <c r="K886" t="str">
        <f>"20280425"</f>
        <v>20280425</v>
      </c>
      <c r="L886" t="s">
        <v>18</v>
      </c>
      <c r="M886" t="str">
        <f>"20190319"</f>
        <v>20190319</v>
      </c>
    </row>
    <row r="887" spans="1:13" x14ac:dyDescent="0.25">
      <c r="A887" t="str">
        <f>"00688958"</f>
        <v>00688958</v>
      </c>
      <c r="B887" t="s">
        <v>2002</v>
      </c>
      <c r="C887" t="s">
        <v>169</v>
      </c>
      <c r="D887" t="s">
        <v>25</v>
      </c>
      <c r="E887" t="s">
        <v>16</v>
      </c>
      <c r="F887" t="s">
        <v>17</v>
      </c>
      <c r="G887" t="str">
        <f>"02"</f>
        <v>02</v>
      </c>
      <c r="H887" t="str">
        <f>"3  "</f>
        <v xml:space="preserve">3  </v>
      </c>
      <c r="I887" t="str">
        <f>"2013/09/06"</f>
        <v>2013/09/06</v>
      </c>
      <c r="J887" t="str">
        <f>"510"</f>
        <v>510</v>
      </c>
      <c r="K887" t="str">
        <f>"21200408"</f>
        <v>21200408</v>
      </c>
      <c r="L887" t="s">
        <v>18</v>
      </c>
      <c r="M887" t="str">
        <f>"20110412"</f>
        <v>20110412</v>
      </c>
    </row>
    <row r="888" spans="1:13" x14ac:dyDescent="0.25">
      <c r="A888" t="str">
        <f>"00175294"</f>
        <v>00175294</v>
      </c>
      <c r="B888" t="s">
        <v>2006</v>
      </c>
      <c r="C888" t="s">
        <v>2007</v>
      </c>
      <c r="D888" t="s">
        <v>25</v>
      </c>
      <c r="E888" t="s">
        <v>26</v>
      </c>
      <c r="F888" t="s">
        <v>17</v>
      </c>
      <c r="G888" t="str">
        <f>"02"</f>
        <v>02</v>
      </c>
      <c r="H888" t="str">
        <f>"3  "</f>
        <v xml:space="preserve">3  </v>
      </c>
      <c r="I888" t="str">
        <f>"2013/09/12"</f>
        <v>2013/09/12</v>
      </c>
      <c r="J888" t="str">
        <f>"510"</f>
        <v>510</v>
      </c>
      <c r="K888" t="str">
        <f>"20210225"</f>
        <v>20210225</v>
      </c>
      <c r="L888" t="s">
        <v>18</v>
      </c>
      <c r="M888" t="str">
        <f>"20120819"</f>
        <v>20120819</v>
      </c>
    </row>
    <row r="889" spans="1:13" x14ac:dyDescent="0.25">
      <c r="A889" t="str">
        <f>"00830024"</f>
        <v>00830024</v>
      </c>
      <c r="B889" t="s">
        <v>2012</v>
      </c>
      <c r="C889" t="s">
        <v>244</v>
      </c>
      <c r="D889" t="s">
        <v>15</v>
      </c>
      <c r="E889" t="s">
        <v>26</v>
      </c>
      <c r="F889" t="s">
        <v>17</v>
      </c>
      <c r="G889" t="str">
        <f>"02"</f>
        <v>02</v>
      </c>
      <c r="H889" t="str">
        <f>"0  "</f>
        <v xml:space="preserve">0  </v>
      </c>
      <c r="I889" t="str">
        <f>"2019/12/03"</f>
        <v>2019/12/03</v>
      </c>
      <c r="J889" t="str">
        <f>"420"</f>
        <v>420</v>
      </c>
      <c r="K889" t="s">
        <v>18</v>
      </c>
      <c r="L889" t="s">
        <v>18</v>
      </c>
      <c r="M889" t="s">
        <v>18</v>
      </c>
    </row>
    <row r="890" spans="1:13" x14ac:dyDescent="0.25">
      <c r="A890" t="str">
        <f>"00303668"</f>
        <v>00303668</v>
      </c>
      <c r="B890" t="s">
        <v>2012</v>
      </c>
      <c r="C890" t="s">
        <v>125</v>
      </c>
      <c r="D890" t="s">
        <v>25</v>
      </c>
      <c r="E890" t="s">
        <v>16</v>
      </c>
      <c r="F890" t="s">
        <v>17</v>
      </c>
      <c r="G890" t="str">
        <f>"02"</f>
        <v>02</v>
      </c>
      <c r="H890" t="str">
        <f>"3  "</f>
        <v xml:space="preserve">3  </v>
      </c>
      <c r="I890" t="str">
        <f>"2011/02/04"</f>
        <v>2011/02/04</v>
      </c>
      <c r="J890" t="str">
        <f>"510"</f>
        <v>510</v>
      </c>
      <c r="K890" t="str">
        <f>"20270331"</f>
        <v>20270331</v>
      </c>
      <c r="L890" t="s">
        <v>18</v>
      </c>
      <c r="M890" t="str">
        <f>"20091022"</f>
        <v>20091022</v>
      </c>
    </row>
    <row r="891" spans="1:13" x14ac:dyDescent="0.25">
      <c r="A891" t="str">
        <f>"00128251"</f>
        <v>00128251</v>
      </c>
      <c r="B891" t="s">
        <v>2015</v>
      </c>
      <c r="C891" t="s">
        <v>55</v>
      </c>
      <c r="D891" t="s">
        <v>51</v>
      </c>
      <c r="E891" t="s">
        <v>16</v>
      </c>
      <c r="F891" t="s">
        <v>17</v>
      </c>
      <c r="G891" t="str">
        <f>"02"</f>
        <v>02</v>
      </c>
      <c r="H891" t="str">
        <f>"7  "</f>
        <v xml:space="preserve">7  </v>
      </c>
      <c r="I891" t="str">
        <f>"1993/09/10"</f>
        <v>1993/09/10</v>
      </c>
      <c r="J891" t="str">
        <f>"114"</f>
        <v>114</v>
      </c>
      <c r="K891" t="s">
        <v>18</v>
      </c>
      <c r="L891" t="s">
        <v>18</v>
      </c>
      <c r="M891" t="str">
        <f>"19920311"</f>
        <v>19920311</v>
      </c>
    </row>
    <row r="892" spans="1:13" x14ac:dyDescent="0.25">
      <c r="A892" t="str">
        <f>"00646306"</f>
        <v>00646306</v>
      </c>
      <c r="B892" t="s">
        <v>2019</v>
      </c>
      <c r="C892" t="s">
        <v>320</v>
      </c>
      <c r="D892" t="s">
        <v>61</v>
      </c>
      <c r="E892" t="s">
        <v>16</v>
      </c>
      <c r="F892" t="s">
        <v>17</v>
      </c>
      <c r="G892" t="str">
        <f>"02"</f>
        <v>02</v>
      </c>
      <c r="H892" t="str">
        <f>"3  "</f>
        <v xml:space="preserve">3  </v>
      </c>
      <c r="I892" t="str">
        <f>"2020/09/02"</f>
        <v>2020/09/02</v>
      </c>
      <c r="J892" t="str">
        <f>"533"</f>
        <v>533</v>
      </c>
      <c r="K892" t="str">
        <f>"20250823"</f>
        <v>20250823</v>
      </c>
      <c r="L892" t="s">
        <v>18</v>
      </c>
      <c r="M892" t="str">
        <f>"20130910"</f>
        <v>20130910</v>
      </c>
    </row>
    <row r="893" spans="1:13" x14ac:dyDescent="0.25">
      <c r="A893" t="str">
        <f>"00793426"</f>
        <v>00793426</v>
      </c>
      <c r="B893" t="s">
        <v>2020</v>
      </c>
      <c r="C893" t="s">
        <v>2021</v>
      </c>
      <c r="D893" t="s">
        <v>61</v>
      </c>
      <c r="E893" t="s">
        <v>16</v>
      </c>
      <c r="F893" t="s">
        <v>17</v>
      </c>
      <c r="G893" t="str">
        <f>"02"</f>
        <v>02</v>
      </c>
      <c r="H893" t="str">
        <f>"3  "</f>
        <v xml:space="preserve">3  </v>
      </c>
      <c r="I893" t="str">
        <f>"2018/07/13"</f>
        <v>2018/07/13</v>
      </c>
      <c r="J893" t="str">
        <f>"510"</f>
        <v>510</v>
      </c>
      <c r="K893" t="str">
        <f>"20380509"</f>
        <v>20380509</v>
      </c>
      <c r="L893" t="s">
        <v>18</v>
      </c>
      <c r="M893" t="str">
        <f>"20151209"</f>
        <v>20151209</v>
      </c>
    </row>
    <row r="894" spans="1:13" x14ac:dyDescent="0.25">
      <c r="A894" t="str">
        <f>"00340049"</f>
        <v>00340049</v>
      </c>
      <c r="B894" t="s">
        <v>2022</v>
      </c>
      <c r="C894" t="s">
        <v>74</v>
      </c>
      <c r="D894" t="s">
        <v>21</v>
      </c>
      <c r="E894" t="s">
        <v>26</v>
      </c>
      <c r="F894" t="s">
        <v>17</v>
      </c>
      <c r="G894" t="str">
        <f>"02"</f>
        <v>02</v>
      </c>
      <c r="H894" t="str">
        <f>"3  "</f>
        <v xml:space="preserve">3  </v>
      </c>
      <c r="I894" t="str">
        <f>"2002/09/17"</f>
        <v>2002/09/17</v>
      </c>
      <c r="J894" t="str">
        <f>"110"</f>
        <v>110</v>
      </c>
      <c r="K894" t="str">
        <f>"20240606"</f>
        <v>20240606</v>
      </c>
      <c r="L894" t="s">
        <v>18</v>
      </c>
      <c r="M894" t="str">
        <f>"20010620"</f>
        <v>20010620</v>
      </c>
    </row>
    <row r="895" spans="1:13" x14ac:dyDescent="0.25">
      <c r="A895" t="str">
        <f>"00274714"</f>
        <v>00274714</v>
      </c>
      <c r="B895" t="s">
        <v>2022</v>
      </c>
      <c r="C895" t="s">
        <v>22</v>
      </c>
      <c r="D895" t="s">
        <v>37</v>
      </c>
      <c r="E895" t="s">
        <v>26</v>
      </c>
      <c r="F895" t="s">
        <v>17</v>
      </c>
      <c r="G895" t="str">
        <f>"02"</f>
        <v>02</v>
      </c>
      <c r="H895" t="str">
        <f>"7  "</f>
        <v xml:space="preserve">7  </v>
      </c>
      <c r="I895" t="str">
        <f>"2012/01/23"</f>
        <v>2012/01/23</v>
      </c>
      <c r="J895" t="str">
        <f>"110"</f>
        <v>110</v>
      </c>
      <c r="K895" t="s">
        <v>18</v>
      </c>
      <c r="L895" t="s">
        <v>18</v>
      </c>
      <c r="M895" t="str">
        <f>"20100809"</f>
        <v>20100809</v>
      </c>
    </row>
    <row r="896" spans="1:13" x14ac:dyDescent="0.25">
      <c r="A896" t="str">
        <f>"00526618"</f>
        <v>00526618</v>
      </c>
      <c r="B896" t="s">
        <v>2022</v>
      </c>
      <c r="C896" t="s">
        <v>2023</v>
      </c>
      <c r="D896" t="s">
        <v>21</v>
      </c>
      <c r="E896" t="s">
        <v>26</v>
      </c>
      <c r="F896" t="s">
        <v>17</v>
      </c>
      <c r="G896" t="str">
        <f>"02"</f>
        <v>02</v>
      </c>
      <c r="H896" t="str">
        <f>"3  "</f>
        <v xml:space="preserve">3  </v>
      </c>
      <c r="I896" t="str">
        <f>"2020/01/31"</f>
        <v>2020/01/31</v>
      </c>
      <c r="J896" t="str">
        <f>"533"</f>
        <v>533</v>
      </c>
      <c r="K896" t="str">
        <f>"20260629"</f>
        <v>20260629</v>
      </c>
      <c r="L896" t="s">
        <v>18</v>
      </c>
      <c r="M896" t="str">
        <f>"20080924"</f>
        <v>20080924</v>
      </c>
    </row>
    <row r="897" spans="1:13" x14ac:dyDescent="0.25">
      <c r="A897" t="str">
        <f>"00169440"</f>
        <v>00169440</v>
      </c>
      <c r="B897" t="s">
        <v>2024</v>
      </c>
      <c r="C897" t="s">
        <v>2027</v>
      </c>
      <c r="D897" t="s">
        <v>73</v>
      </c>
      <c r="E897" t="s">
        <v>26</v>
      </c>
      <c r="F897" t="s">
        <v>17</v>
      </c>
      <c r="G897" t="str">
        <f>"02"</f>
        <v>02</v>
      </c>
      <c r="H897" t="str">
        <f>"3  "</f>
        <v xml:space="preserve">3  </v>
      </c>
      <c r="I897" t="str">
        <f>"2014/10/21"</f>
        <v>2014/10/21</v>
      </c>
      <c r="J897" t="str">
        <f>"510"</f>
        <v>510</v>
      </c>
      <c r="K897" t="str">
        <f>"20211025"</f>
        <v>20211025</v>
      </c>
      <c r="L897" t="s">
        <v>18</v>
      </c>
      <c r="M897" t="str">
        <f>"20121203"</f>
        <v>20121203</v>
      </c>
    </row>
    <row r="898" spans="1:13" x14ac:dyDescent="0.25">
      <c r="A898" t="str">
        <f>"00621034"</f>
        <v>00621034</v>
      </c>
      <c r="B898" t="s">
        <v>2024</v>
      </c>
      <c r="C898" t="s">
        <v>656</v>
      </c>
      <c r="D898" t="s">
        <v>51</v>
      </c>
      <c r="E898" t="s">
        <v>26</v>
      </c>
      <c r="F898" t="s">
        <v>17</v>
      </c>
      <c r="G898" t="str">
        <f>"02"</f>
        <v>02</v>
      </c>
      <c r="H898" t="str">
        <f>"0  "</f>
        <v xml:space="preserve">0  </v>
      </c>
      <c r="I898" t="str">
        <f>"2020/03/11"</f>
        <v>2020/03/11</v>
      </c>
      <c r="J898" t="str">
        <f>"510"</f>
        <v>510</v>
      </c>
      <c r="K898" t="s">
        <v>18</v>
      </c>
      <c r="L898" t="s">
        <v>18</v>
      </c>
      <c r="M898" t="s">
        <v>18</v>
      </c>
    </row>
    <row r="899" spans="1:13" x14ac:dyDescent="0.25">
      <c r="A899" t="str">
        <f>"00667925"</f>
        <v>00667925</v>
      </c>
      <c r="B899" t="s">
        <v>2029</v>
      </c>
      <c r="C899" t="s">
        <v>2030</v>
      </c>
      <c r="D899" t="s">
        <v>61</v>
      </c>
      <c r="E899" t="s">
        <v>16</v>
      </c>
      <c r="F899" t="s">
        <v>17</v>
      </c>
      <c r="G899" t="str">
        <f>"02"</f>
        <v>02</v>
      </c>
      <c r="H899" t="str">
        <f>"3  "</f>
        <v xml:space="preserve">3  </v>
      </c>
      <c r="I899" t="str">
        <f>"2018/09/06"</f>
        <v>2018/09/06</v>
      </c>
      <c r="J899" t="str">
        <f>"503"</f>
        <v>503</v>
      </c>
      <c r="K899" t="str">
        <f>"20290107"</f>
        <v>20290107</v>
      </c>
      <c r="L899" t="s">
        <v>18</v>
      </c>
      <c r="M899" t="str">
        <f>"20180415"</f>
        <v>20180415</v>
      </c>
    </row>
    <row r="900" spans="1:13" x14ac:dyDescent="0.25">
      <c r="A900" t="str">
        <f>"00127179"</f>
        <v>00127179</v>
      </c>
      <c r="B900" t="s">
        <v>2031</v>
      </c>
      <c r="C900" t="s">
        <v>1476</v>
      </c>
      <c r="D900" t="s">
        <v>37</v>
      </c>
      <c r="E900" t="s">
        <v>16</v>
      </c>
      <c r="F900" t="s">
        <v>17</v>
      </c>
      <c r="G900" t="str">
        <f>"02"</f>
        <v>02</v>
      </c>
      <c r="H900" t="str">
        <f>"7  "</f>
        <v xml:space="preserve">7  </v>
      </c>
      <c r="I900" t="str">
        <f>"1997/02/27"</f>
        <v>1997/02/27</v>
      </c>
      <c r="J900" t="str">
        <f>"532"</f>
        <v>532</v>
      </c>
      <c r="K900" t="s">
        <v>18</v>
      </c>
      <c r="L900" t="s">
        <v>18</v>
      </c>
      <c r="M900" t="str">
        <f>"19740904"</f>
        <v>19740904</v>
      </c>
    </row>
    <row r="901" spans="1:13" x14ac:dyDescent="0.25">
      <c r="A901" t="str">
        <f>"00443297"</f>
        <v>00443297</v>
      </c>
      <c r="B901" t="s">
        <v>2033</v>
      </c>
      <c r="C901" t="s">
        <v>118</v>
      </c>
      <c r="D901" t="s">
        <v>47</v>
      </c>
      <c r="E901" t="s">
        <v>16</v>
      </c>
      <c r="F901" t="s">
        <v>17</v>
      </c>
      <c r="G901" t="str">
        <f>"02"</f>
        <v>02</v>
      </c>
      <c r="H901" t="str">
        <f>"3  "</f>
        <v xml:space="preserve">3  </v>
      </c>
      <c r="I901" t="str">
        <f>"2015/01/21"</f>
        <v>2015/01/21</v>
      </c>
      <c r="J901" t="str">
        <f>"510"</f>
        <v>510</v>
      </c>
      <c r="K901" t="str">
        <f>"20240323"</f>
        <v>20240323</v>
      </c>
      <c r="L901" t="s">
        <v>18</v>
      </c>
      <c r="M901" t="str">
        <f>"20130606"</f>
        <v>20130606</v>
      </c>
    </row>
    <row r="902" spans="1:13" x14ac:dyDescent="0.25">
      <c r="A902" t="str">
        <f>"00290964"</f>
        <v>00290964</v>
      </c>
      <c r="B902" t="s">
        <v>2043</v>
      </c>
      <c r="C902" t="s">
        <v>402</v>
      </c>
      <c r="D902" t="s">
        <v>51</v>
      </c>
      <c r="E902" t="s">
        <v>26</v>
      </c>
      <c r="F902" t="s">
        <v>17</v>
      </c>
      <c r="G902" t="str">
        <f>"02"</f>
        <v>02</v>
      </c>
      <c r="H902" t="str">
        <f>"3  "</f>
        <v xml:space="preserve">3  </v>
      </c>
      <c r="I902" t="str">
        <f>"2019/05/30"</f>
        <v>2019/05/30</v>
      </c>
      <c r="J902" t="str">
        <f>"510"</f>
        <v>510</v>
      </c>
      <c r="K902" t="str">
        <f>"20250924"</f>
        <v>20250924</v>
      </c>
      <c r="L902" t="s">
        <v>18</v>
      </c>
      <c r="M902" t="str">
        <f>"20180801"</f>
        <v>20180801</v>
      </c>
    </row>
    <row r="903" spans="1:13" x14ac:dyDescent="0.25">
      <c r="A903" t="str">
        <f>"00467290"</f>
        <v>00467290</v>
      </c>
      <c r="B903" t="s">
        <v>2047</v>
      </c>
      <c r="C903" t="s">
        <v>2048</v>
      </c>
      <c r="D903" t="s">
        <v>25</v>
      </c>
      <c r="E903" t="s">
        <v>26</v>
      </c>
      <c r="F903" t="s">
        <v>17</v>
      </c>
      <c r="G903" t="str">
        <f>"02"</f>
        <v>02</v>
      </c>
      <c r="H903" t="str">
        <f>"3  "</f>
        <v xml:space="preserve">3  </v>
      </c>
      <c r="I903" t="str">
        <f>"2018/12/18"</f>
        <v>2018/12/18</v>
      </c>
      <c r="J903" t="str">
        <f>"533"</f>
        <v>533</v>
      </c>
      <c r="K903" t="str">
        <f>"21021030"</f>
        <v>21021030</v>
      </c>
      <c r="L903" t="s">
        <v>18</v>
      </c>
      <c r="M903" t="str">
        <f>"20120928"</f>
        <v>20120928</v>
      </c>
    </row>
    <row r="904" spans="1:13" x14ac:dyDescent="0.25">
      <c r="A904" t="str">
        <f>"00405069"</f>
        <v>00405069</v>
      </c>
      <c r="B904" t="s">
        <v>2047</v>
      </c>
      <c r="C904" t="s">
        <v>1527</v>
      </c>
      <c r="D904" t="s">
        <v>25</v>
      </c>
      <c r="E904" t="s">
        <v>26</v>
      </c>
      <c r="F904" t="s">
        <v>17</v>
      </c>
      <c r="G904" t="str">
        <f>"02"</f>
        <v>02</v>
      </c>
      <c r="H904" t="str">
        <f>"3  "</f>
        <v xml:space="preserve">3  </v>
      </c>
      <c r="I904" t="str">
        <f>"2020/09/16"</f>
        <v>2020/09/16</v>
      </c>
      <c r="J904" t="str">
        <f>"533"</f>
        <v>533</v>
      </c>
      <c r="K904" t="str">
        <f>"20251227"</f>
        <v>20251227</v>
      </c>
      <c r="L904" t="s">
        <v>18</v>
      </c>
      <c r="M904" t="str">
        <f>"20150309"</f>
        <v>20150309</v>
      </c>
    </row>
    <row r="905" spans="1:13" x14ac:dyDescent="0.25">
      <c r="A905" t="str">
        <f>"00170122"</f>
        <v>00170122</v>
      </c>
      <c r="B905" t="s">
        <v>2050</v>
      </c>
      <c r="C905" t="s">
        <v>2051</v>
      </c>
      <c r="D905" t="s">
        <v>25</v>
      </c>
      <c r="E905" t="s">
        <v>26</v>
      </c>
      <c r="F905" t="s">
        <v>17</v>
      </c>
      <c r="G905" t="str">
        <f>"02"</f>
        <v>02</v>
      </c>
      <c r="H905" t="str">
        <f>"3  "</f>
        <v xml:space="preserve">3  </v>
      </c>
      <c r="I905" t="str">
        <f>"2017/06/21"</f>
        <v>2017/06/21</v>
      </c>
      <c r="J905" t="str">
        <f>"110"</f>
        <v>110</v>
      </c>
      <c r="K905" t="str">
        <f>"20210724"</f>
        <v>20210724</v>
      </c>
      <c r="L905" t="s">
        <v>18</v>
      </c>
      <c r="M905" t="str">
        <f>"20170120"</f>
        <v>20170120</v>
      </c>
    </row>
    <row r="906" spans="1:13" x14ac:dyDescent="0.25">
      <c r="A906" t="str">
        <f>"00435739"</f>
        <v>00435739</v>
      </c>
      <c r="B906" t="s">
        <v>2052</v>
      </c>
      <c r="C906" t="s">
        <v>120</v>
      </c>
      <c r="D906" t="s">
        <v>73</v>
      </c>
      <c r="E906" t="s">
        <v>16</v>
      </c>
      <c r="F906" t="s">
        <v>17</v>
      </c>
      <c r="G906" t="str">
        <f>"02"</f>
        <v>02</v>
      </c>
      <c r="H906" t="str">
        <f>"3  "</f>
        <v xml:space="preserve">3  </v>
      </c>
      <c r="I906" t="str">
        <f>"2016/04/04"</f>
        <v>2016/04/04</v>
      </c>
      <c r="J906" t="str">
        <f>"120"</f>
        <v>120</v>
      </c>
      <c r="K906" t="str">
        <f>"20210615"</f>
        <v>20210615</v>
      </c>
      <c r="L906" t="s">
        <v>18</v>
      </c>
      <c r="M906" t="str">
        <f>"20160317"</f>
        <v>20160317</v>
      </c>
    </row>
    <row r="907" spans="1:13" x14ac:dyDescent="0.25">
      <c r="A907" t="str">
        <f>"00188380"</f>
        <v>00188380</v>
      </c>
      <c r="B907" t="s">
        <v>2052</v>
      </c>
      <c r="C907" t="s">
        <v>22</v>
      </c>
      <c r="D907" t="s">
        <v>215</v>
      </c>
      <c r="E907" t="s">
        <v>16</v>
      </c>
      <c r="F907" t="s">
        <v>17</v>
      </c>
      <c r="G907" t="str">
        <f>"02"</f>
        <v>02</v>
      </c>
      <c r="H907" t="str">
        <f>"7  "</f>
        <v xml:space="preserve">7  </v>
      </c>
      <c r="I907" t="str">
        <f>"2001/02/19"</f>
        <v>2001/02/19</v>
      </c>
      <c r="J907" t="str">
        <f>"533"</f>
        <v>533</v>
      </c>
      <c r="K907" t="s">
        <v>18</v>
      </c>
      <c r="L907" t="str">
        <f>"20190607"</f>
        <v>20190607</v>
      </c>
      <c r="M907" t="str">
        <f>"19810911"</f>
        <v>19810911</v>
      </c>
    </row>
    <row r="908" spans="1:13" x14ac:dyDescent="0.25">
      <c r="A908" t="str">
        <f>"00385787"</f>
        <v>00385787</v>
      </c>
      <c r="B908" t="s">
        <v>2053</v>
      </c>
      <c r="C908" t="s">
        <v>2054</v>
      </c>
      <c r="D908" t="s">
        <v>21</v>
      </c>
      <c r="E908" t="s">
        <v>26</v>
      </c>
      <c r="F908" t="s">
        <v>17</v>
      </c>
      <c r="G908" t="str">
        <f>"02"</f>
        <v>02</v>
      </c>
      <c r="H908" t="str">
        <f>"3  "</f>
        <v xml:space="preserve">3  </v>
      </c>
      <c r="I908" t="str">
        <f>"2018/02/13"</f>
        <v>2018/02/13</v>
      </c>
      <c r="J908" t="str">
        <f>"110"</f>
        <v>110</v>
      </c>
      <c r="K908" t="str">
        <f>"20250601"</f>
        <v>20250601</v>
      </c>
      <c r="L908" t="s">
        <v>18</v>
      </c>
      <c r="M908" t="str">
        <f>"20180213"</f>
        <v>20180213</v>
      </c>
    </row>
    <row r="909" spans="1:13" x14ac:dyDescent="0.25">
      <c r="A909" t="str">
        <f>"00475332"</f>
        <v>00475332</v>
      </c>
      <c r="B909" t="s">
        <v>2055</v>
      </c>
      <c r="C909" t="s">
        <v>2057</v>
      </c>
      <c r="D909" t="s">
        <v>40</v>
      </c>
      <c r="E909" t="s">
        <v>26</v>
      </c>
      <c r="F909" t="s">
        <v>17</v>
      </c>
      <c r="G909" t="str">
        <f>"02"</f>
        <v>02</v>
      </c>
      <c r="H909" t="str">
        <f>"3  "</f>
        <v xml:space="preserve">3  </v>
      </c>
      <c r="I909" t="str">
        <f>"2011/04/29"</f>
        <v>2011/04/29</v>
      </c>
      <c r="J909" t="str">
        <f>"510"</f>
        <v>510</v>
      </c>
      <c r="K909" t="str">
        <f>"20230328"</f>
        <v>20230328</v>
      </c>
      <c r="L909" t="s">
        <v>18</v>
      </c>
      <c r="M909" t="str">
        <f>"20090924"</f>
        <v>20090924</v>
      </c>
    </row>
    <row r="910" spans="1:13" x14ac:dyDescent="0.25">
      <c r="A910" t="str">
        <f>"00133303"</f>
        <v>00133303</v>
      </c>
      <c r="B910" t="s">
        <v>2058</v>
      </c>
      <c r="C910" t="s">
        <v>772</v>
      </c>
      <c r="D910" t="s">
        <v>51</v>
      </c>
      <c r="E910" t="s">
        <v>16</v>
      </c>
      <c r="F910" t="s">
        <v>17</v>
      </c>
      <c r="G910" t="str">
        <f>"02"</f>
        <v>02</v>
      </c>
      <c r="H910" t="str">
        <f>"7  "</f>
        <v xml:space="preserve">7  </v>
      </c>
      <c r="I910" t="str">
        <f>"2001/12/04"</f>
        <v>2001/12/04</v>
      </c>
      <c r="J910" t="str">
        <f>"533"</f>
        <v>533</v>
      </c>
      <c r="K910" t="s">
        <v>18</v>
      </c>
      <c r="L910" t="str">
        <f>"20131204"</f>
        <v>20131204</v>
      </c>
      <c r="M910" t="str">
        <f>"19830204"</f>
        <v>19830204</v>
      </c>
    </row>
    <row r="911" spans="1:13" x14ac:dyDescent="0.25">
      <c r="A911" t="str">
        <f>"00367529"</f>
        <v>00367529</v>
      </c>
      <c r="B911" t="s">
        <v>2058</v>
      </c>
      <c r="C911" t="s">
        <v>22</v>
      </c>
      <c r="D911" t="s">
        <v>51</v>
      </c>
      <c r="E911" t="s">
        <v>26</v>
      </c>
      <c r="F911" t="s">
        <v>17</v>
      </c>
      <c r="G911" t="str">
        <f>"02"</f>
        <v>02</v>
      </c>
      <c r="H911" t="str">
        <f>"3  "</f>
        <v xml:space="preserve">3  </v>
      </c>
      <c r="I911" t="str">
        <f>"2011/08/11"</f>
        <v>2011/08/11</v>
      </c>
      <c r="J911" t="str">
        <f>"510"</f>
        <v>510</v>
      </c>
      <c r="K911" t="str">
        <f>"20320629"</f>
        <v>20320629</v>
      </c>
      <c r="L911" t="s">
        <v>18</v>
      </c>
      <c r="M911" t="str">
        <f>"20100219"</f>
        <v>20100219</v>
      </c>
    </row>
    <row r="912" spans="1:13" x14ac:dyDescent="0.25">
      <c r="A912" t="str">
        <f>"00702995"</f>
        <v>00702995</v>
      </c>
      <c r="B912" t="s">
        <v>2061</v>
      </c>
      <c r="C912" t="s">
        <v>191</v>
      </c>
      <c r="D912" t="s">
        <v>61</v>
      </c>
      <c r="E912" t="s">
        <v>26</v>
      </c>
      <c r="F912" t="s">
        <v>17</v>
      </c>
      <c r="G912" t="str">
        <f>"02"</f>
        <v>02</v>
      </c>
      <c r="H912" t="str">
        <f>"3  "</f>
        <v xml:space="preserve">3  </v>
      </c>
      <c r="I912" t="str">
        <f>"2020/04/03"</f>
        <v>2020/04/03</v>
      </c>
      <c r="J912" t="str">
        <f>"510"</f>
        <v>510</v>
      </c>
      <c r="K912" t="str">
        <f>"20280228"</f>
        <v>20280228</v>
      </c>
      <c r="L912" t="s">
        <v>18</v>
      </c>
      <c r="M912" t="str">
        <f>"20190114"</f>
        <v>20190114</v>
      </c>
    </row>
    <row r="913" spans="1:13" x14ac:dyDescent="0.25">
      <c r="A913" t="str">
        <f>"00273677"</f>
        <v>00273677</v>
      </c>
      <c r="B913" t="s">
        <v>2061</v>
      </c>
      <c r="C913" t="s">
        <v>218</v>
      </c>
      <c r="D913" t="s">
        <v>21</v>
      </c>
      <c r="E913" t="s">
        <v>26</v>
      </c>
      <c r="F913" t="s">
        <v>17</v>
      </c>
      <c r="G913" t="str">
        <f>"02"</f>
        <v>02</v>
      </c>
      <c r="H913" t="str">
        <f>"3  "</f>
        <v xml:space="preserve">3  </v>
      </c>
      <c r="I913" t="str">
        <f>"2002/08/08"</f>
        <v>2002/08/08</v>
      </c>
      <c r="J913" t="str">
        <f>"503"</f>
        <v>503</v>
      </c>
      <c r="K913" t="str">
        <f>"20300916"</f>
        <v>20300916</v>
      </c>
      <c r="L913" t="s">
        <v>18</v>
      </c>
      <c r="M913" t="str">
        <f>"20010709"</f>
        <v>20010709</v>
      </c>
    </row>
    <row r="914" spans="1:13" x14ac:dyDescent="0.25">
      <c r="A914" t="str">
        <f>"00268196"</f>
        <v>00268196</v>
      </c>
      <c r="B914" t="s">
        <v>2061</v>
      </c>
      <c r="C914" t="s">
        <v>446</v>
      </c>
      <c r="D914" t="s">
        <v>51</v>
      </c>
      <c r="E914" t="s">
        <v>26</v>
      </c>
      <c r="F914" t="s">
        <v>17</v>
      </c>
      <c r="G914" t="str">
        <f>"02"</f>
        <v>02</v>
      </c>
      <c r="H914" t="str">
        <f>"1  "</f>
        <v xml:space="preserve">1  </v>
      </c>
      <c r="I914" t="str">
        <f>"2020/09/17"</f>
        <v>2020/09/17</v>
      </c>
      <c r="J914" t="str">
        <f>"504"</f>
        <v>504</v>
      </c>
      <c r="K914" t="str">
        <f>"20201119"</f>
        <v>20201119</v>
      </c>
      <c r="L914" t="s">
        <v>18</v>
      </c>
      <c r="M914" t="str">
        <f>"20200426"</f>
        <v>20200426</v>
      </c>
    </row>
    <row r="915" spans="1:13" x14ac:dyDescent="0.25">
      <c r="A915" t="str">
        <f>"00155163"</f>
        <v>00155163</v>
      </c>
      <c r="B915" t="s">
        <v>2061</v>
      </c>
      <c r="C915" t="s">
        <v>2062</v>
      </c>
      <c r="D915" t="s">
        <v>51</v>
      </c>
      <c r="E915" t="s">
        <v>26</v>
      </c>
      <c r="F915" t="s">
        <v>17</v>
      </c>
      <c r="G915" t="str">
        <f>"02"</f>
        <v>02</v>
      </c>
      <c r="H915" t="str">
        <f>"3  "</f>
        <v xml:space="preserve">3  </v>
      </c>
      <c r="I915" t="str">
        <f>"2019/12/20"</f>
        <v>2019/12/20</v>
      </c>
      <c r="J915" t="str">
        <f>"503"</f>
        <v>503</v>
      </c>
      <c r="K915" t="str">
        <f>"20231103"</f>
        <v>20231103</v>
      </c>
      <c r="L915" t="s">
        <v>18</v>
      </c>
      <c r="M915" t="str">
        <f>"20191018"</f>
        <v>20191018</v>
      </c>
    </row>
    <row r="916" spans="1:13" x14ac:dyDescent="0.25">
      <c r="A916" t="str">
        <f>"00251560"</f>
        <v>00251560</v>
      </c>
      <c r="B916" t="s">
        <v>2061</v>
      </c>
      <c r="C916" t="s">
        <v>2064</v>
      </c>
      <c r="D916" t="s">
        <v>91</v>
      </c>
      <c r="E916" t="s">
        <v>26</v>
      </c>
      <c r="F916" t="s">
        <v>17</v>
      </c>
      <c r="G916" t="str">
        <f>"02"</f>
        <v>02</v>
      </c>
      <c r="H916" t="str">
        <f>"3  "</f>
        <v xml:space="preserve">3  </v>
      </c>
      <c r="I916" t="str">
        <f>"2018/11/16"</f>
        <v>2018/11/16</v>
      </c>
      <c r="J916" t="str">
        <f>"510"</f>
        <v>510</v>
      </c>
      <c r="K916" t="str">
        <f>"20350626"</f>
        <v>20350626</v>
      </c>
      <c r="L916" t="s">
        <v>18</v>
      </c>
      <c r="M916" t="str">
        <f>"20170720"</f>
        <v>20170720</v>
      </c>
    </row>
    <row r="917" spans="1:13" x14ac:dyDescent="0.25">
      <c r="A917" t="str">
        <f>"00669658"</f>
        <v>00669658</v>
      </c>
      <c r="B917" t="s">
        <v>2061</v>
      </c>
      <c r="C917" t="s">
        <v>72</v>
      </c>
      <c r="D917" t="s">
        <v>51</v>
      </c>
      <c r="E917" t="s">
        <v>26</v>
      </c>
      <c r="F917" t="s">
        <v>17</v>
      </c>
      <c r="G917" t="str">
        <f>"02"</f>
        <v>02</v>
      </c>
      <c r="H917" t="str">
        <f>"3  "</f>
        <v xml:space="preserve">3  </v>
      </c>
      <c r="I917" t="str">
        <f>"2012/12/31"</f>
        <v>2012/12/31</v>
      </c>
      <c r="J917" t="str">
        <f>"510"</f>
        <v>510</v>
      </c>
      <c r="K917" t="str">
        <f>"20250918"</f>
        <v>20250918</v>
      </c>
      <c r="L917" t="s">
        <v>18</v>
      </c>
      <c r="M917" t="str">
        <f>"20110525"</f>
        <v>20110525</v>
      </c>
    </row>
    <row r="918" spans="1:13" x14ac:dyDescent="0.25">
      <c r="A918" t="str">
        <f>"00291433"</f>
        <v>00291433</v>
      </c>
      <c r="B918" t="s">
        <v>2061</v>
      </c>
      <c r="C918" t="s">
        <v>74</v>
      </c>
      <c r="D918" t="s">
        <v>456</v>
      </c>
      <c r="E918" t="s">
        <v>16</v>
      </c>
      <c r="F918" t="s">
        <v>17</v>
      </c>
      <c r="G918" t="str">
        <f>"02"</f>
        <v>02</v>
      </c>
      <c r="H918" t="str">
        <f>"7  "</f>
        <v xml:space="preserve">7  </v>
      </c>
      <c r="I918" t="str">
        <f>"2018/08/28"</f>
        <v>2018/08/28</v>
      </c>
      <c r="J918" t="str">
        <f>"503"</f>
        <v>503</v>
      </c>
      <c r="K918" t="s">
        <v>18</v>
      </c>
      <c r="L918" t="s">
        <v>18</v>
      </c>
      <c r="M918" t="str">
        <f>"20170410"</f>
        <v>20170410</v>
      </c>
    </row>
    <row r="919" spans="1:13" x14ac:dyDescent="0.25">
      <c r="A919" t="str">
        <f>"00275415"</f>
        <v>00275415</v>
      </c>
      <c r="B919" t="s">
        <v>2061</v>
      </c>
      <c r="C919" t="s">
        <v>358</v>
      </c>
      <c r="D919" t="s">
        <v>26</v>
      </c>
      <c r="E919" t="s">
        <v>26</v>
      </c>
      <c r="F919" t="s">
        <v>17</v>
      </c>
      <c r="G919" t="str">
        <f>"02"</f>
        <v>02</v>
      </c>
      <c r="H919" t="str">
        <f>"3  "</f>
        <v xml:space="preserve">3  </v>
      </c>
      <c r="I919" t="str">
        <f>"2019/05/17"</f>
        <v>2019/05/17</v>
      </c>
      <c r="J919" t="str">
        <f>"533"</f>
        <v>533</v>
      </c>
      <c r="K919" t="str">
        <f>"20450908"</f>
        <v>20450908</v>
      </c>
      <c r="L919" t="s">
        <v>18</v>
      </c>
      <c r="M919" t="str">
        <f>"20160223"</f>
        <v>20160223</v>
      </c>
    </row>
    <row r="920" spans="1:13" x14ac:dyDescent="0.25">
      <c r="A920" t="str">
        <f>"00707946"</f>
        <v>00707946</v>
      </c>
      <c r="B920" t="s">
        <v>2061</v>
      </c>
      <c r="C920" t="s">
        <v>1787</v>
      </c>
      <c r="D920" t="s">
        <v>80</v>
      </c>
      <c r="E920" t="s">
        <v>26</v>
      </c>
      <c r="F920" t="s">
        <v>17</v>
      </c>
      <c r="G920" t="str">
        <f>"02"</f>
        <v>02</v>
      </c>
      <c r="H920" t="str">
        <f>"3  "</f>
        <v xml:space="preserve">3  </v>
      </c>
      <c r="I920" t="str">
        <f>"2018/07/13"</f>
        <v>2018/07/13</v>
      </c>
      <c r="J920" t="str">
        <f>"510"</f>
        <v>510</v>
      </c>
      <c r="K920" t="str">
        <f>"20310802"</f>
        <v>20310802</v>
      </c>
      <c r="L920" t="s">
        <v>18</v>
      </c>
      <c r="M920" t="str">
        <f>"20170223"</f>
        <v>20170223</v>
      </c>
    </row>
    <row r="921" spans="1:13" x14ac:dyDescent="0.25">
      <c r="A921" t="str">
        <f>"00546274"</f>
        <v>00546274</v>
      </c>
      <c r="B921" t="s">
        <v>2061</v>
      </c>
      <c r="C921" t="s">
        <v>1775</v>
      </c>
      <c r="D921" t="s">
        <v>21</v>
      </c>
      <c r="E921" t="s">
        <v>26</v>
      </c>
      <c r="F921" t="s">
        <v>17</v>
      </c>
      <c r="G921" t="str">
        <f>"02"</f>
        <v>02</v>
      </c>
      <c r="H921" t="str">
        <f>"3  "</f>
        <v xml:space="preserve">3  </v>
      </c>
      <c r="I921" t="str">
        <f>"2012/12/31"</f>
        <v>2012/12/31</v>
      </c>
      <c r="J921" t="str">
        <f>"510"</f>
        <v>510</v>
      </c>
      <c r="K921" t="str">
        <f>"20371108"</f>
        <v>20371108</v>
      </c>
      <c r="L921" t="s">
        <v>18</v>
      </c>
      <c r="M921" t="str">
        <f>"20110208"</f>
        <v>20110208</v>
      </c>
    </row>
    <row r="922" spans="1:13" x14ac:dyDescent="0.25">
      <c r="A922" t="str">
        <f>"00252908"</f>
        <v>00252908</v>
      </c>
      <c r="B922" t="s">
        <v>2061</v>
      </c>
      <c r="C922" t="s">
        <v>168</v>
      </c>
      <c r="D922" t="s">
        <v>21</v>
      </c>
      <c r="E922" t="s">
        <v>26</v>
      </c>
      <c r="F922" t="s">
        <v>17</v>
      </c>
      <c r="G922" t="str">
        <f>"02"</f>
        <v>02</v>
      </c>
      <c r="H922" t="str">
        <f>"3  "</f>
        <v xml:space="preserve">3  </v>
      </c>
      <c r="I922" t="str">
        <f>"2020/04/03"</f>
        <v>2020/04/03</v>
      </c>
      <c r="J922" t="str">
        <f>"510"</f>
        <v>510</v>
      </c>
      <c r="K922" t="str">
        <f>"20280905"</f>
        <v>20280905</v>
      </c>
      <c r="L922" t="s">
        <v>18</v>
      </c>
      <c r="M922" t="str">
        <f>"20190820"</f>
        <v>20190820</v>
      </c>
    </row>
    <row r="923" spans="1:13" x14ac:dyDescent="0.25">
      <c r="A923" t="str">
        <f>"00141633"</f>
        <v>00141633</v>
      </c>
      <c r="B923" t="s">
        <v>2061</v>
      </c>
      <c r="C923" t="s">
        <v>663</v>
      </c>
      <c r="D923" t="s">
        <v>21</v>
      </c>
      <c r="E923" t="s">
        <v>26</v>
      </c>
      <c r="F923" t="s">
        <v>17</v>
      </c>
      <c r="G923" t="str">
        <f>"02"</f>
        <v>02</v>
      </c>
      <c r="H923" t="str">
        <f>"3  "</f>
        <v xml:space="preserve">3  </v>
      </c>
      <c r="I923" t="str">
        <f>"2011/01/05"</f>
        <v>2011/01/05</v>
      </c>
      <c r="J923" t="str">
        <f>"503"</f>
        <v>503</v>
      </c>
      <c r="K923" t="str">
        <f>"20280314"</f>
        <v>20280314</v>
      </c>
      <c r="L923" t="s">
        <v>18</v>
      </c>
      <c r="M923" t="str">
        <f>"20070121"</f>
        <v>20070121</v>
      </c>
    </row>
    <row r="924" spans="1:13" x14ac:dyDescent="0.25">
      <c r="A924" t="str">
        <f>"00726355"</f>
        <v>00726355</v>
      </c>
      <c r="B924" t="s">
        <v>2071</v>
      </c>
      <c r="C924" t="s">
        <v>578</v>
      </c>
      <c r="D924" t="s">
        <v>61</v>
      </c>
      <c r="E924" t="s">
        <v>26</v>
      </c>
      <c r="F924" t="s">
        <v>17</v>
      </c>
      <c r="G924" t="str">
        <f>"02"</f>
        <v>02</v>
      </c>
      <c r="H924" t="str">
        <f>"3  "</f>
        <v xml:space="preserve">3  </v>
      </c>
      <c r="I924" t="str">
        <f>"2019/04/01"</f>
        <v>2019/04/01</v>
      </c>
      <c r="J924" t="str">
        <f>"510"</f>
        <v>510</v>
      </c>
      <c r="K924" t="str">
        <f>"20210227"</f>
        <v>20210227</v>
      </c>
      <c r="L924" t="s">
        <v>18</v>
      </c>
      <c r="M924" t="str">
        <f>"20151029"</f>
        <v>20151029</v>
      </c>
    </row>
    <row r="925" spans="1:13" x14ac:dyDescent="0.25">
      <c r="A925" t="str">
        <f>"00215158"</f>
        <v>00215158</v>
      </c>
      <c r="B925" t="s">
        <v>2072</v>
      </c>
      <c r="C925" t="s">
        <v>136</v>
      </c>
      <c r="D925" t="s">
        <v>37</v>
      </c>
      <c r="E925" t="s">
        <v>16</v>
      </c>
      <c r="F925" t="s">
        <v>17</v>
      </c>
      <c r="G925" t="str">
        <f>"02"</f>
        <v>02</v>
      </c>
      <c r="H925" t="str">
        <f>"3  "</f>
        <v xml:space="preserve">3  </v>
      </c>
      <c r="I925" t="str">
        <f>"2001/12/12"</f>
        <v>2001/12/12</v>
      </c>
      <c r="J925" t="str">
        <f>"114"</f>
        <v>114</v>
      </c>
      <c r="K925" t="str">
        <f>"20280321"</f>
        <v>20280321</v>
      </c>
      <c r="L925" t="s">
        <v>18</v>
      </c>
      <c r="M925" t="str">
        <f>"20010409"</f>
        <v>20010409</v>
      </c>
    </row>
    <row r="926" spans="1:13" x14ac:dyDescent="0.25">
      <c r="A926" t="str">
        <f>"00269163"</f>
        <v>00269163</v>
      </c>
      <c r="B926" t="s">
        <v>2075</v>
      </c>
      <c r="C926" t="s">
        <v>755</v>
      </c>
      <c r="D926" t="s">
        <v>40</v>
      </c>
      <c r="E926" t="s">
        <v>26</v>
      </c>
      <c r="F926" t="s">
        <v>17</v>
      </c>
      <c r="G926" t="str">
        <f>"02"</f>
        <v>02</v>
      </c>
      <c r="H926" t="str">
        <f>"7  "</f>
        <v xml:space="preserve">7  </v>
      </c>
      <c r="I926" t="str">
        <f>"2020/09/02"</f>
        <v>2020/09/02</v>
      </c>
      <c r="J926" t="str">
        <f>"533"</f>
        <v>533</v>
      </c>
      <c r="K926" t="s">
        <v>18</v>
      </c>
      <c r="L926" t="s">
        <v>18</v>
      </c>
      <c r="M926" t="str">
        <f>"19991027"</f>
        <v>19991027</v>
      </c>
    </row>
    <row r="927" spans="1:13" x14ac:dyDescent="0.25">
      <c r="A927" t="str">
        <f>"00217637"</f>
        <v>00217637</v>
      </c>
      <c r="B927" t="s">
        <v>2079</v>
      </c>
      <c r="C927" t="s">
        <v>74</v>
      </c>
      <c r="D927" t="s">
        <v>25</v>
      </c>
      <c r="E927" t="s">
        <v>16</v>
      </c>
      <c r="F927" t="s">
        <v>17</v>
      </c>
      <c r="G927" t="str">
        <f>"02"</f>
        <v>02</v>
      </c>
      <c r="H927" t="str">
        <f>"3  "</f>
        <v xml:space="preserve">3  </v>
      </c>
      <c r="I927" t="str">
        <f>"2019/04/22"</f>
        <v>2019/04/22</v>
      </c>
      <c r="J927" t="str">
        <f>"510"</f>
        <v>510</v>
      </c>
      <c r="K927" t="str">
        <f>"20281115"</f>
        <v>20281115</v>
      </c>
      <c r="L927" t="s">
        <v>18</v>
      </c>
      <c r="M927" t="str">
        <f>"20170217"</f>
        <v>20170217</v>
      </c>
    </row>
    <row r="928" spans="1:13" x14ac:dyDescent="0.25">
      <c r="A928" t="str">
        <f>"00478912"</f>
        <v>00478912</v>
      </c>
      <c r="B928" t="s">
        <v>2081</v>
      </c>
      <c r="C928" t="s">
        <v>526</v>
      </c>
      <c r="D928" t="s">
        <v>61</v>
      </c>
      <c r="E928" t="s">
        <v>16</v>
      </c>
      <c r="F928" t="s">
        <v>17</v>
      </c>
      <c r="G928" t="str">
        <f>"02"</f>
        <v>02</v>
      </c>
      <c r="H928" t="str">
        <f>"3  "</f>
        <v xml:space="preserve">3  </v>
      </c>
      <c r="I928" t="str">
        <f>"2015/11/23"</f>
        <v>2015/11/23</v>
      </c>
      <c r="J928" t="str">
        <f>"510"</f>
        <v>510</v>
      </c>
      <c r="K928" t="str">
        <f>"20410703"</f>
        <v>20410703</v>
      </c>
      <c r="L928" t="s">
        <v>18</v>
      </c>
      <c r="M928" t="str">
        <f>"20141004"</f>
        <v>20141004</v>
      </c>
    </row>
    <row r="929" spans="1:13" x14ac:dyDescent="0.25">
      <c r="A929" t="str">
        <f>"00110249"</f>
        <v>00110249</v>
      </c>
      <c r="B929" t="s">
        <v>2085</v>
      </c>
      <c r="C929" t="s">
        <v>2088</v>
      </c>
      <c r="D929" t="s">
        <v>61</v>
      </c>
      <c r="E929" t="s">
        <v>26</v>
      </c>
      <c r="F929" t="s">
        <v>17</v>
      </c>
      <c r="G929" t="str">
        <f>"02"</f>
        <v>02</v>
      </c>
      <c r="H929" t="str">
        <f>"3  "</f>
        <v xml:space="preserve">3  </v>
      </c>
      <c r="I929" t="str">
        <f>"2017/05/11"</f>
        <v>2017/05/11</v>
      </c>
      <c r="J929" t="str">
        <f>"110"</f>
        <v>110</v>
      </c>
      <c r="K929" t="str">
        <f>"20240710"</f>
        <v>20240710</v>
      </c>
      <c r="L929" t="s">
        <v>18</v>
      </c>
      <c r="M929" t="str">
        <f>"20160715"</f>
        <v>20160715</v>
      </c>
    </row>
    <row r="930" spans="1:13" x14ac:dyDescent="0.25">
      <c r="A930" t="str">
        <f>"00496843"</f>
        <v>00496843</v>
      </c>
      <c r="B930" t="s">
        <v>2085</v>
      </c>
      <c r="C930" t="s">
        <v>938</v>
      </c>
      <c r="D930" t="s">
        <v>15</v>
      </c>
      <c r="E930" t="s">
        <v>26</v>
      </c>
      <c r="F930" t="s">
        <v>17</v>
      </c>
      <c r="G930" t="str">
        <f>"02"</f>
        <v>02</v>
      </c>
      <c r="H930" t="str">
        <f>"3  "</f>
        <v xml:space="preserve">3  </v>
      </c>
      <c r="I930" t="str">
        <f>"2020/09/16"</f>
        <v>2020/09/16</v>
      </c>
      <c r="J930" t="str">
        <f>"533"</f>
        <v>533</v>
      </c>
      <c r="K930" t="str">
        <f>"20321113"</f>
        <v>20321113</v>
      </c>
      <c r="L930" t="s">
        <v>18</v>
      </c>
      <c r="M930" t="str">
        <f>"20161208"</f>
        <v>20161208</v>
      </c>
    </row>
    <row r="931" spans="1:13" x14ac:dyDescent="0.25">
      <c r="A931" t="str">
        <f>"00423611"</f>
        <v>00423611</v>
      </c>
      <c r="B931" t="s">
        <v>2085</v>
      </c>
      <c r="C931" t="s">
        <v>254</v>
      </c>
      <c r="D931" t="s">
        <v>25</v>
      </c>
      <c r="E931" t="s">
        <v>26</v>
      </c>
      <c r="F931" t="s">
        <v>17</v>
      </c>
      <c r="G931" t="str">
        <f>"02"</f>
        <v>02</v>
      </c>
      <c r="H931" t="str">
        <f>"3  "</f>
        <v xml:space="preserve">3  </v>
      </c>
      <c r="I931" t="str">
        <f>"2014/08/06"</f>
        <v>2014/08/06</v>
      </c>
      <c r="J931" t="str">
        <f>"110"</f>
        <v>110</v>
      </c>
      <c r="K931" t="str">
        <f>"20210819"</f>
        <v>20210819</v>
      </c>
      <c r="L931" t="s">
        <v>18</v>
      </c>
      <c r="M931" t="str">
        <f>"20140222"</f>
        <v>20140222</v>
      </c>
    </row>
    <row r="932" spans="1:13" x14ac:dyDescent="0.25">
      <c r="A932" t="str">
        <f>"00497332"</f>
        <v>00497332</v>
      </c>
      <c r="B932" t="s">
        <v>2090</v>
      </c>
      <c r="C932" t="s">
        <v>62</v>
      </c>
      <c r="D932" t="s">
        <v>40</v>
      </c>
      <c r="E932" t="s">
        <v>26</v>
      </c>
      <c r="F932" t="s">
        <v>17</v>
      </c>
      <c r="G932" t="str">
        <f>"02"</f>
        <v>02</v>
      </c>
      <c r="H932" t="str">
        <f>"3  "</f>
        <v xml:space="preserve">3  </v>
      </c>
      <c r="I932" t="str">
        <f>"2018/09/04"</f>
        <v>2018/09/04</v>
      </c>
      <c r="J932" t="str">
        <f>"503"</f>
        <v>503</v>
      </c>
      <c r="K932" t="str">
        <f>"20311127"</f>
        <v>20311127</v>
      </c>
      <c r="L932" t="s">
        <v>18</v>
      </c>
      <c r="M932" t="str">
        <f>"20170518"</f>
        <v>20170518</v>
      </c>
    </row>
    <row r="933" spans="1:13" x14ac:dyDescent="0.25">
      <c r="A933" t="str">
        <f>"00362674"</f>
        <v>00362674</v>
      </c>
      <c r="B933" t="s">
        <v>2094</v>
      </c>
      <c r="C933" t="s">
        <v>2095</v>
      </c>
      <c r="D933" t="s">
        <v>25</v>
      </c>
      <c r="E933" t="s">
        <v>26</v>
      </c>
      <c r="F933" t="s">
        <v>17</v>
      </c>
      <c r="G933" t="str">
        <f>"02"</f>
        <v>02</v>
      </c>
      <c r="H933" t="str">
        <f>"3  "</f>
        <v xml:space="preserve">3  </v>
      </c>
      <c r="I933" t="str">
        <f>"2018/08/16"</f>
        <v>2018/08/16</v>
      </c>
      <c r="J933" t="str">
        <f>"510"</f>
        <v>510</v>
      </c>
      <c r="K933" t="str">
        <f>"20301207"</f>
        <v>20301207</v>
      </c>
      <c r="L933" t="s">
        <v>18</v>
      </c>
      <c r="M933" t="str">
        <f>"20170621"</f>
        <v>20170621</v>
      </c>
    </row>
    <row r="934" spans="1:13" x14ac:dyDescent="0.25">
      <c r="A934" t="str">
        <f>"00249808"</f>
        <v>00249808</v>
      </c>
      <c r="B934" t="s">
        <v>2096</v>
      </c>
      <c r="C934" t="s">
        <v>74</v>
      </c>
      <c r="D934" t="s">
        <v>21</v>
      </c>
      <c r="E934" t="s">
        <v>16</v>
      </c>
      <c r="F934" t="s">
        <v>17</v>
      </c>
      <c r="G934" t="str">
        <f>"02"</f>
        <v>02</v>
      </c>
      <c r="H934" t="str">
        <f>"3  "</f>
        <v xml:space="preserve">3  </v>
      </c>
      <c r="I934" t="str">
        <f>"2020/09/16"</f>
        <v>2020/09/16</v>
      </c>
      <c r="J934" t="str">
        <f>"533"</f>
        <v>533</v>
      </c>
      <c r="K934" t="str">
        <f>"20310508"</f>
        <v>20310508</v>
      </c>
      <c r="L934" t="s">
        <v>18</v>
      </c>
      <c r="M934" t="str">
        <f>"20170126"</f>
        <v>20170126</v>
      </c>
    </row>
    <row r="935" spans="1:13" x14ac:dyDescent="0.25">
      <c r="A935" t="str">
        <f>"00917465"</f>
        <v>00917465</v>
      </c>
      <c r="B935" t="s">
        <v>2097</v>
      </c>
      <c r="C935" t="s">
        <v>547</v>
      </c>
      <c r="D935" t="s">
        <v>25</v>
      </c>
      <c r="E935" t="s">
        <v>16</v>
      </c>
      <c r="F935" t="s">
        <v>17</v>
      </c>
      <c r="G935" t="str">
        <f>"02"</f>
        <v>02</v>
      </c>
      <c r="H935" t="str">
        <f>"0  "</f>
        <v xml:space="preserve">0  </v>
      </c>
      <c r="I935" t="str">
        <f>"2020/07/08"</f>
        <v>2020/07/08</v>
      </c>
      <c r="J935" t="str">
        <f>"503"</f>
        <v>503</v>
      </c>
      <c r="K935" t="s">
        <v>18</v>
      </c>
      <c r="L935" t="s">
        <v>18</v>
      </c>
      <c r="M935" t="s">
        <v>18</v>
      </c>
    </row>
    <row r="936" spans="1:13" x14ac:dyDescent="0.25">
      <c r="A936" t="str">
        <f>"00650565"</f>
        <v>00650565</v>
      </c>
      <c r="B936" t="s">
        <v>2101</v>
      </c>
      <c r="C936" t="s">
        <v>1181</v>
      </c>
      <c r="D936" t="s">
        <v>25</v>
      </c>
      <c r="E936" t="s">
        <v>26</v>
      </c>
      <c r="F936" t="s">
        <v>17</v>
      </c>
      <c r="G936" t="str">
        <f>"02"</f>
        <v>02</v>
      </c>
      <c r="H936" t="str">
        <f>"3  "</f>
        <v xml:space="preserve">3  </v>
      </c>
      <c r="I936" t="str">
        <f>"2019/06/21"</f>
        <v>2019/06/21</v>
      </c>
      <c r="J936" t="str">
        <f>"503"</f>
        <v>503</v>
      </c>
      <c r="K936" t="str">
        <f>"20550904"</f>
        <v>20550904</v>
      </c>
      <c r="L936" t="s">
        <v>18</v>
      </c>
      <c r="M936" t="str">
        <f>"20180915"</f>
        <v>20180915</v>
      </c>
    </row>
    <row r="937" spans="1:13" x14ac:dyDescent="0.25">
      <c r="A937" t="str">
        <f>"00550376"</f>
        <v>00550376</v>
      </c>
      <c r="B937" t="s">
        <v>2102</v>
      </c>
      <c r="C937" t="s">
        <v>613</v>
      </c>
      <c r="D937" t="s">
        <v>97</v>
      </c>
      <c r="E937" t="s">
        <v>26</v>
      </c>
      <c r="F937" t="s">
        <v>17</v>
      </c>
      <c r="G937" t="str">
        <f>"02"</f>
        <v>02</v>
      </c>
      <c r="H937" t="str">
        <f>"3  "</f>
        <v xml:space="preserve">3  </v>
      </c>
      <c r="I937" t="str">
        <f>"2018/07/13"</f>
        <v>2018/07/13</v>
      </c>
      <c r="J937" t="str">
        <f>"510"</f>
        <v>510</v>
      </c>
      <c r="K937" t="str">
        <f>"20350120"</f>
        <v>20350120</v>
      </c>
      <c r="L937" t="s">
        <v>18</v>
      </c>
      <c r="M937" t="str">
        <f>"20170317"</f>
        <v>20170317</v>
      </c>
    </row>
    <row r="938" spans="1:13" x14ac:dyDescent="0.25">
      <c r="A938" t="str">
        <f>"00251807"</f>
        <v>00251807</v>
      </c>
      <c r="B938" t="s">
        <v>2102</v>
      </c>
      <c r="C938" t="s">
        <v>430</v>
      </c>
      <c r="D938" t="s">
        <v>97</v>
      </c>
      <c r="E938" t="s">
        <v>26</v>
      </c>
      <c r="F938" t="s">
        <v>17</v>
      </c>
      <c r="G938" t="str">
        <f>"02"</f>
        <v>02</v>
      </c>
      <c r="H938" t="str">
        <f>"3  "</f>
        <v xml:space="preserve">3  </v>
      </c>
      <c r="I938" t="str">
        <f>"2004/03/08"</f>
        <v>2004/03/08</v>
      </c>
      <c r="J938" t="str">
        <f>"510"</f>
        <v>510</v>
      </c>
      <c r="K938" t="str">
        <f>"20311104"</f>
        <v>20311104</v>
      </c>
      <c r="L938" t="s">
        <v>18</v>
      </c>
      <c r="M938" t="str">
        <f>"20030623"</f>
        <v>20030623</v>
      </c>
    </row>
    <row r="939" spans="1:13" x14ac:dyDescent="0.25">
      <c r="A939" t="str">
        <f>"00574491"</f>
        <v>00574491</v>
      </c>
      <c r="B939" t="s">
        <v>2103</v>
      </c>
      <c r="C939" t="s">
        <v>437</v>
      </c>
      <c r="D939" t="s">
        <v>31</v>
      </c>
      <c r="E939" t="s">
        <v>26</v>
      </c>
      <c r="F939" t="s">
        <v>17</v>
      </c>
      <c r="G939" t="str">
        <f>"02"</f>
        <v>02</v>
      </c>
      <c r="H939" t="str">
        <f>"3  "</f>
        <v xml:space="preserve">3  </v>
      </c>
      <c r="I939" t="str">
        <f>"2019/08/23"</f>
        <v>2019/08/23</v>
      </c>
      <c r="J939" t="str">
        <f>"510"</f>
        <v>510</v>
      </c>
      <c r="K939" t="str">
        <f>"20261026"</f>
        <v>20261026</v>
      </c>
      <c r="L939" t="s">
        <v>18</v>
      </c>
      <c r="M939" t="str">
        <f>"20171023"</f>
        <v>20171023</v>
      </c>
    </row>
    <row r="940" spans="1:13" x14ac:dyDescent="0.25">
      <c r="A940" t="str">
        <f>"00299493"</f>
        <v>00299493</v>
      </c>
      <c r="B940" t="s">
        <v>2103</v>
      </c>
      <c r="C940" t="s">
        <v>2105</v>
      </c>
      <c r="D940" t="s">
        <v>25</v>
      </c>
      <c r="E940" t="s">
        <v>26</v>
      </c>
      <c r="F940" t="s">
        <v>17</v>
      </c>
      <c r="G940" t="str">
        <f>"02"</f>
        <v>02</v>
      </c>
      <c r="H940" t="str">
        <f>"3  "</f>
        <v xml:space="preserve">3  </v>
      </c>
      <c r="I940" t="str">
        <f>"2018/08/31"</f>
        <v>2018/08/31</v>
      </c>
      <c r="J940" t="str">
        <f>"510"</f>
        <v>510</v>
      </c>
      <c r="K940" t="str">
        <f>"20460110"</f>
        <v>20460110</v>
      </c>
      <c r="L940" t="s">
        <v>18</v>
      </c>
      <c r="M940" t="str">
        <f>"20180113"</f>
        <v>20180113</v>
      </c>
    </row>
    <row r="941" spans="1:13" x14ac:dyDescent="0.25">
      <c r="A941" t="str">
        <f>"00182705"</f>
        <v>00182705</v>
      </c>
      <c r="B941" t="s">
        <v>2103</v>
      </c>
      <c r="C941" t="s">
        <v>140</v>
      </c>
      <c r="D941" t="s">
        <v>51</v>
      </c>
      <c r="E941" t="s">
        <v>26</v>
      </c>
      <c r="F941" t="s">
        <v>17</v>
      </c>
      <c r="G941" t="str">
        <f>"02"</f>
        <v>02</v>
      </c>
      <c r="H941" t="str">
        <f>"7  "</f>
        <v xml:space="preserve">7  </v>
      </c>
      <c r="I941" t="str">
        <f>"2000/03/28"</f>
        <v>2000/03/28</v>
      </c>
      <c r="J941" t="str">
        <f>"114"</f>
        <v>114</v>
      </c>
      <c r="K941" t="s">
        <v>18</v>
      </c>
      <c r="L941" t="s">
        <v>18</v>
      </c>
      <c r="M941" t="str">
        <f>"19991222"</f>
        <v>19991222</v>
      </c>
    </row>
    <row r="942" spans="1:13" x14ac:dyDescent="0.25">
      <c r="A942" t="str">
        <f>"00437039"</f>
        <v>00437039</v>
      </c>
      <c r="B942" t="s">
        <v>2103</v>
      </c>
      <c r="C942" t="s">
        <v>302</v>
      </c>
      <c r="D942" t="s">
        <v>40</v>
      </c>
      <c r="E942" t="s">
        <v>26</v>
      </c>
      <c r="F942" t="s">
        <v>17</v>
      </c>
      <c r="G942" t="str">
        <f>"02"</f>
        <v>02</v>
      </c>
      <c r="H942" t="str">
        <f>"3  "</f>
        <v xml:space="preserve">3  </v>
      </c>
      <c r="I942" t="str">
        <f>"2020/07/21"</f>
        <v>2020/07/21</v>
      </c>
      <c r="J942" t="str">
        <f>"533"</f>
        <v>533</v>
      </c>
      <c r="K942" t="str">
        <f>"20241030"</f>
        <v>20241030</v>
      </c>
      <c r="L942" t="s">
        <v>18</v>
      </c>
      <c r="M942" t="str">
        <f>"20140820"</f>
        <v>20140820</v>
      </c>
    </row>
    <row r="943" spans="1:13" x14ac:dyDescent="0.25">
      <c r="A943" t="str">
        <f>"00431629"</f>
        <v>00431629</v>
      </c>
      <c r="B943" t="s">
        <v>2103</v>
      </c>
      <c r="C943" t="s">
        <v>2108</v>
      </c>
      <c r="D943" t="s">
        <v>51</v>
      </c>
      <c r="E943" t="s">
        <v>26</v>
      </c>
      <c r="F943" t="s">
        <v>17</v>
      </c>
      <c r="G943" t="str">
        <f>"02"</f>
        <v>02</v>
      </c>
      <c r="H943" t="str">
        <f>"7  "</f>
        <v xml:space="preserve">7  </v>
      </c>
      <c r="I943" t="str">
        <f>"2016/06/10"</f>
        <v>2016/06/10</v>
      </c>
      <c r="J943" t="str">
        <f>"510"</f>
        <v>510</v>
      </c>
      <c r="K943" t="s">
        <v>18</v>
      </c>
      <c r="L943" t="s">
        <v>18</v>
      </c>
      <c r="M943" t="str">
        <f>"20140723"</f>
        <v>20140723</v>
      </c>
    </row>
    <row r="944" spans="1:13" x14ac:dyDescent="0.25">
      <c r="A944" t="str">
        <f>"00246331"</f>
        <v>00246331</v>
      </c>
      <c r="B944" t="s">
        <v>2103</v>
      </c>
      <c r="C944" t="s">
        <v>213</v>
      </c>
      <c r="D944" t="s">
        <v>25</v>
      </c>
      <c r="E944" t="s">
        <v>26</v>
      </c>
      <c r="F944" t="s">
        <v>17</v>
      </c>
      <c r="G944" t="str">
        <f>"02"</f>
        <v>02</v>
      </c>
      <c r="H944" t="str">
        <f>"7  "</f>
        <v xml:space="preserve">7  </v>
      </c>
      <c r="I944" t="str">
        <f>"2019/05/10"</f>
        <v>2019/05/10</v>
      </c>
      <c r="J944" t="str">
        <f>"110"</f>
        <v>110</v>
      </c>
      <c r="K944" t="s">
        <v>18</v>
      </c>
      <c r="L944" t="s">
        <v>18</v>
      </c>
      <c r="M944" t="str">
        <f>"20130825"</f>
        <v>20130825</v>
      </c>
    </row>
    <row r="945" spans="1:13" x14ac:dyDescent="0.25">
      <c r="A945" t="str">
        <f>"00878234"</f>
        <v>00878234</v>
      </c>
      <c r="B945" t="s">
        <v>2103</v>
      </c>
      <c r="C945" t="s">
        <v>213</v>
      </c>
      <c r="D945" t="s">
        <v>16</v>
      </c>
      <c r="E945" t="s">
        <v>26</v>
      </c>
      <c r="F945" t="s">
        <v>17</v>
      </c>
      <c r="G945" t="str">
        <f>"02"</f>
        <v>02</v>
      </c>
      <c r="H945" t="str">
        <f>"3  "</f>
        <v xml:space="preserve">3  </v>
      </c>
      <c r="I945" t="str">
        <f>"2019/07/22"</f>
        <v>2019/07/22</v>
      </c>
      <c r="J945" t="str">
        <f>"510"</f>
        <v>510</v>
      </c>
      <c r="K945" t="str">
        <f>"20400905"</f>
        <v>20400905</v>
      </c>
      <c r="L945" t="s">
        <v>18</v>
      </c>
      <c r="M945" t="str">
        <f>"20180414"</f>
        <v>20180414</v>
      </c>
    </row>
    <row r="946" spans="1:13" x14ac:dyDescent="0.25">
      <c r="A946" t="str">
        <f>"00230139"</f>
        <v>00230139</v>
      </c>
      <c r="B946" t="s">
        <v>2103</v>
      </c>
      <c r="C946" t="s">
        <v>96</v>
      </c>
      <c r="D946" t="s">
        <v>45</v>
      </c>
      <c r="E946" t="s">
        <v>26</v>
      </c>
      <c r="F946" t="s">
        <v>17</v>
      </c>
      <c r="G946" t="str">
        <f>"02"</f>
        <v>02</v>
      </c>
      <c r="H946" t="str">
        <f>"7  "</f>
        <v xml:space="preserve">7  </v>
      </c>
      <c r="I946" t="str">
        <f>"1988/08/23"</f>
        <v>1988/08/23</v>
      </c>
      <c r="J946" t="str">
        <f>"510"</f>
        <v>510</v>
      </c>
      <c r="K946" t="s">
        <v>18</v>
      </c>
      <c r="L946" t="s">
        <v>18</v>
      </c>
      <c r="M946" t="str">
        <f>"19880204"</f>
        <v>19880204</v>
      </c>
    </row>
    <row r="947" spans="1:13" x14ac:dyDescent="0.25">
      <c r="A947" t="str">
        <f>"00279192"</f>
        <v>00279192</v>
      </c>
      <c r="B947" t="s">
        <v>2103</v>
      </c>
      <c r="C947" t="s">
        <v>308</v>
      </c>
      <c r="D947" t="s">
        <v>37</v>
      </c>
      <c r="E947" t="s">
        <v>26</v>
      </c>
      <c r="F947" t="s">
        <v>17</v>
      </c>
      <c r="G947" t="str">
        <f>"02"</f>
        <v>02</v>
      </c>
      <c r="H947" t="str">
        <f>"3  "</f>
        <v xml:space="preserve">3  </v>
      </c>
      <c r="I947" t="str">
        <f>"2020/09/16"</f>
        <v>2020/09/16</v>
      </c>
      <c r="J947" t="str">
        <f>"533"</f>
        <v>533</v>
      </c>
      <c r="K947" t="str">
        <f>"20311004"</f>
        <v>20311004</v>
      </c>
      <c r="L947" t="s">
        <v>18</v>
      </c>
      <c r="M947" t="str">
        <f>"19990826"</f>
        <v>19990826</v>
      </c>
    </row>
    <row r="948" spans="1:13" x14ac:dyDescent="0.25">
      <c r="A948" t="str">
        <f>"00371518"</f>
        <v>00371518</v>
      </c>
      <c r="B948" t="s">
        <v>2103</v>
      </c>
      <c r="C948" t="s">
        <v>385</v>
      </c>
      <c r="D948" t="s">
        <v>31</v>
      </c>
      <c r="E948" t="s">
        <v>26</v>
      </c>
      <c r="F948" t="s">
        <v>17</v>
      </c>
      <c r="G948" t="str">
        <f>"02"</f>
        <v>02</v>
      </c>
      <c r="H948" t="str">
        <f>"3  "</f>
        <v xml:space="preserve">3  </v>
      </c>
      <c r="I948" t="str">
        <f>"2018/01/22"</f>
        <v>2018/01/22</v>
      </c>
      <c r="J948" t="str">
        <f>"510"</f>
        <v>510</v>
      </c>
      <c r="K948" t="str">
        <f>"20390702"</f>
        <v>20390702</v>
      </c>
      <c r="L948" t="s">
        <v>18</v>
      </c>
      <c r="M948" t="str">
        <f>"20161102"</f>
        <v>20161102</v>
      </c>
    </row>
    <row r="949" spans="1:13" x14ac:dyDescent="0.25">
      <c r="A949" t="str">
        <f>"00477470"</f>
        <v>00477470</v>
      </c>
      <c r="B949" t="s">
        <v>2103</v>
      </c>
      <c r="C949" t="s">
        <v>2113</v>
      </c>
      <c r="D949" t="s">
        <v>25</v>
      </c>
      <c r="E949" t="s">
        <v>26</v>
      </c>
      <c r="F949" t="s">
        <v>17</v>
      </c>
      <c r="G949" t="str">
        <f>"02"</f>
        <v>02</v>
      </c>
      <c r="H949" t="str">
        <f>"3  "</f>
        <v xml:space="preserve">3  </v>
      </c>
      <c r="I949" t="str">
        <f>"2013/09/11"</f>
        <v>2013/09/11</v>
      </c>
      <c r="J949" t="str">
        <f>"510"</f>
        <v>510</v>
      </c>
      <c r="K949" t="str">
        <f>"20230604"</f>
        <v>20230604</v>
      </c>
      <c r="L949" t="s">
        <v>18</v>
      </c>
      <c r="M949" t="str">
        <f>"20120521"</f>
        <v>20120521</v>
      </c>
    </row>
    <row r="950" spans="1:13" x14ac:dyDescent="0.25">
      <c r="A950" t="str">
        <f>"00230140"</f>
        <v>00230140</v>
      </c>
      <c r="B950" t="s">
        <v>2103</v>
      </c>
      <c r="C950" t="s">
        <v>2114</v>
      </c>
      <c r="D950" t="s">
        <v>45</v>
      </c>
      <c r="E950" t="s">
        <v>26</v>
      </c>
      <c r="F950" t="s">
        <v>17</v>
      </c>
      <c r="G950" t="str">
        <f>"02"</f>
        <v>02</v>
      </c>
      <c r="H950" t="str">
        <f>"7  "</f>
        <v xml:space="preserve">7  </v>
      </c>
      <c r="I950" t="str">
        <f>"1988/08/23"</f>
        <v>1988/08/23</v>
      </c>
      <c r="J950" t="str">
        <f>"510"</f>
        <v>510</v>
      </c>
      <c r="K950" t="s">
        <v>18</v>
      </c>
      <c r="L950" t="str">
        <f>"20220110"</f>
        <v>20220110</v>
      </c>
      <c r="M950" t="str">
        <f>"19880204"</f>
        <v>19880204</v>
      </c>
    </row>
    <row r="951" spans="1:13" x14ac:dyDescent="0.25">
      <c r="A951" t="str">
        <f>"00829455"</f>
        <v>00829455</v>
      </c>
      <c r="B951" t="s">
        <v>2103</v>
      </c>
      <c r="C951" t="s">
        <v>2115</v>
      </c>
      <c r="D951" t="s">
        <v>25</v>
      </c>
      <c r="E951" t="s">
        <v>26</v>
      </c>
      <c r="F951" t="s">
        <v>17</v>
      </c>
      <c r="G951" t="str">
        <f>"02"</f>
        <v>02</v>
      </c>
      <c r="H951" t="str">
        <f>"3  "</f>
        <v xml:space="preserve">3  </v>
      </c>
      <c r="I951" t="str">
        <f>"2016/06/08"</f>
        <v>2016/06/08</v>
      </c>
      <c r="J951" t="str">
        <f>"110"</f>
        <v>110</v>
      </c>
      <c r="K951" t="str">
        <f>"20301020"</f>
        <v>20301020</v>
      </c>
      <c r="L951" t="s">
        <v>18</v>
      </c>
      <c r="M951" t="str">
        <f>"20031215"</f>
        <v>20031215</v>
      </c>
    </row>
    <row r="952" spans="1:13" x14ac:dyDescent="0.25">
      <c r="A952" t="str">
        <f>"00390205"</f>
        <v>00390205</v>
      </c>
      <c r="B952" t="s">
        <v>2103</v>
      </c>
      <c r="C952" t="s">
        <v>353</v>
      </c>
      <c r="D952" t="s">
        <v>51</v>
      </c>
      <c r="E952" t="s">
        <v>26</v>
      </c>
      <c r="F952" t="s">
        <v>17</v>
      </c>
      <c r="G952" t="str">
        <f>"02"</f>
        <v>02</v>
      </c>
      <c r="H952" t="str">
        <f>"3  "</f>
        <v xml:space="preserve">3  </v>
      </c>
      <c r="I952" t="str">
        <f>"2020/08/05"</f>
        <v>2020/08/05</v>
      </c>
      <c r="J952" t="str">
        <f>"533"</f>
        <v>533</v>
      </c>
      <c r="K952" t="str">
        <f>"20270430"</f>
        <v>20270430</v>
      </c>
      <c r="L952" t="s">
        <v>18</v>
      </c>
      <c r="M952" t="str">
        <f>"20140327"</f>
        <v>20140327</v>
      </c>
    </row>
    <row r="953" spans="1:13" x14ac:dyDescent="0.25">
      <c r="A953" t="str">
        <f>"00306874"</f>
        <v>00306874</v>
      </c>
      <c r="B953" t="s">
        <v>2103</v>
      </c>
      <c r="C953" t="s">
        <v>250</v>
      </c>
      <c r="D953" t="s">
        <v>61</v>
      </c>
      <c r="E953" t="s">
        <v>26</v>
      </c>
      <c r="F953" t="s">
        <v>17</v>
      </c>
      <c r="G953" t="str">
        <f>"02"</f>
        <v>02</v>
      </c>
      <c r="H953" t="str">
        <f>"3  "</f>
        <v xml:space="preserve">3  </v>
      </c>
      <c r="I953" t="str">
        <f>"2014/08/08"</f>
        <v>2014/08/08</v>
      </c>
      <c r="J953" t="str">
        <f>"510"</f>
        <v>510</v>
      </c>
      <c r="K953" t="str">
        <f>"20210420"</f>
        <v>20210420</v>
      </c>
      <c r="L953" t="s">
        <v>18</v>
      </c>
      <c r="M953" t="str">
        <f>"20130502"</f>
        <v>20130502</v>
      </c>
    </row>
    <row r="954" spans="1:13" x14ac:dyDescent="0.25">
      <c r="A954" t="str">
        <f>"00577485"</f>
        <v>00577485</v>
      </c>
      <c r="B954" t="s">
        <v>2103</v>
      </c>
      <c r="C954" t="s">
        <v>2118</v>
      </c>
      <c r="D954" t="s">
        <v>21</v>
      </c>
      <c r="E954" t="s">
        <v>26</v>
      </c>
      <c r="F954" t="s">
        <v>17</v>
      </c>
      <c r="G954" t="str">
        <f>"02"</f>
        <v>02</v>
      </c>
      <c r="H954" t="str">
        <f>"3  "</f>
        <v xml:space="preserve">3  </v>
      </c>
      <c r="I954" t="str">
        <f>"2019/04/05"</f>
        <v>2019/04/05</v>
      </c>
      <c r="J954" t="str">
        <f>"503"</f>
        <v>503</v>
      </c>
      <c r="K954" t="str">
        <f>"20220105"</f>
        <v>20220105</v>
      </c>
      <c r="L954" t="s">
        <v>18</v>
      </c>
      <c r="M954" t="str">
        <f>"20180628"</f>
        <v>20180628</v>
      </c>
    </row>
    <row r="955" spans="1:13" x14ac:dyDescent="0.25">
      <c r="A955" t="str">
        <f>"00402855"</f>
        <v>00402855</v>
      </c>
      <c r="B955" t="s">
        <v>2103</v>
      </c>
      <c r="C955" t="s">
        <v>1545</v>
      </c>
      <c r="D955" t="s">
        <v>25</v>
      </c>
      <c r="E955" t="s">
        <v>26</v>
      </c>
      <c r="F955" t="s">
        <v>17</v>
      </c>
      <c r="G955" t="str">
        <f>"02"</f>
        <v>02</v>
      </c>
      <c r="H955" t="str">
        <f>"3  "</f>
        <v xml:space="preserve">3  </v>
      </c>
      <c r="I955" t="str">
        <f>"2015/01/09"</f>
        <v>2015/01/09</v>
      </c>
      <c r="J955" t="str">
        <f>"510"</f>
        <v>510</v>
      </c>
      <c r="K955" t="str">
        <f>"20230922"</f>
        <v>20230922</v>
      </c>
      <c r="L955" t="s">
        <v>18</v>
      </c>
      <c r="M955" t="str">
        <f>"20131115"</f>
        <v>20131115</v>
      </c>
    </row>
    <row r="956" spans="1:13" x14ac:dyDescent="0.25">
      <c r="A956" t="str">
        <f>"00647553"</f>
        <v>00647553</v>
      </c>
      <c r="B956" t="s">
        <v>2103</v>
      </c>
      <c r="C956" t="s">
        <v>2120</v>
      </c>
      <c r="D956" t="s">
        <v>45</v>
      </c>
      <c r="E956" t="s">
        <v>26</v>
      </c>
      <c r="F956" t="s">
        <v>17</v>
      </c>
      <c r="G956" t="str">
        <f>"02"</f>
        <v>02</v>
      </c>
      <c r="H956" t="str">
        <f>"7  "</f>
        <v xml:space="preserve">7  </v>
      </c>
      <c r="I956" t="str">
        <f>"2018/10/06"</f>
        <v>2018/10/06</v>
      </c>
      <c r="J956" t="str">
        <f>"110"</f>
        <v>110</v>
      </c>
      <c r="K956" t="s">
        <v>18</v>
      </c>
      <c r="L956" t="s">
        <v>18</v>
      </c>
      <c r="M956" t="str">
        <f>"20140509"</f>
        <v>20140509</v>
      </c>
    </row>
    <row r="957" spans="1:13" x14ac:dyDescent="0.25">
      <c r="A957" t="str">
        <f>"00163273"</f>
        <v>00163273</v>
      </c>
      <c r="B957" t="s">
        <v>2103</v>
      </c>
      <c r="C957" t="s">
        <v>55</v>
      </c>
      <c r="D957" t="s">
        <v>16</v>
      </c>
      <c r="E957" t="s">
        <v>16</v>
      </c>
      <c r="F957" t="s">
        <v>17</v>
      </c>
      <c r="G957" t="str">
        <f>"02"</f>
        <v>02</v>
      </c>
      <c r="H957" t="str">
        <f>"7  "</f>
        <v xml:space="preserve">7  </v>
      </c>
      <c r="I957" t="str">
        <f>"1996/08/21"</f>
        <v>1996/08/21</v>
      </c>
      <c r="J957" t="str">
        <f>"503"</f>
        <v>503</v>
      </c>
      <c r="K957" t="s">
        <v>18</v>
      </c>
      <c r="L957" t="s">
        <v>18</v>
      </c>
      <c r="M957" t="str">
        <f>"19901108"</f>
        <v>19901108</v>
      </c>
    </row>
    <row r="958" spans="1:13" x14ac:dyDescent="0.25">
      <c r="A958" t="str">
        <f>"00207365"</f>
        <v>00207365</v>
      </c>
      <c r="B958" t="s">
        <v>2103</v>
      </c>
      <c r="C958" t="s">
        <v>488</v>
      </c>
      <c r="D958" t="s">
        <v>51</v>
      </c>
      <c r="E958" t="s">
        <v>26</v>
      </c>
      <c r="F958" t="s">
        <v>17</v>
      </c>
      <c r="G958" t="str">
        <f>"02"</f>
        <v>02</v>
      </c>
      <c r="H958" t="str">
        <f>"3  "</f>
        <v xml:space="preserve">3  </v>
      </c>
      <c r="I958" t="str">
        <f>"2000/11/15"</f>
        <v>2000/11/15</v>
      </c>
      <c r="J958" t="str">
        <f>"110"</f>
        <v>110</v>
      </c>
      <c r="K958" t="str">
        <f>"20691213"</f>
        <v>20691213</v>
      </c>
      <c r="L958" t="s">
        <v>18</v>
      </c>
      <c r="M958" t="str">
        <f>"19990801"</f>
        <v>19990801</v>
      </c>
    </row>
    <row r="959" spans="1:13" x14ac:dyDescent="0.25">
      <c r="A959" t="str">
        <f>"00228192"</f>
        <v>00228192</v>
      </c>
      <c r="B959" t="s">
        <v>2103</v>
      </c>
      <c r="C959" t="s">
        <v>59</v>
      </c>
      <c r="D959" t="s">
        <v>25</v>
      </c>
      <c r="E959" t="s">
        <v>26</v>
      </c>
      <c r="F959" t="s">
        <v>17</v>
      </c>
      <c r="G959" t="str">
        <f>"02"</f>
        <v>02</v>
      </c>
      <c r="H959" t="str">
        <f>"3  "</f>
        <v xml:space="preserve">3  </v>
      </c>
      <c r="I959" t="str">
        <f>"2006/04/11"</f>
        <v>2006/04/11</v>
      </c>
      <c r="J959" t="str">
        <f>"510"</f>
        <v>510</v>
      </c>
      <c r="K959" t="str">
        <f>"20300411"</f>
        <v>20300411</v>
      </c>
      <c r="L959" t="s">
        <v>18</v>
      </c>
      <c r="M959" t="str">
        <f>"20050412"</f>
        <v>20050412</v>
      </c>
    </row>
    <row r="960" spans="1:13" x14ac:dyDescent="0.25">
      <c r="A960" t="str">
        <f>"00320734"</f>
        <v>00320734</v>
      </c>
      <c r="B960" t="s">
        <v>2103</v>
      </c>
      <c r="C960" t="s">
        <v>59</v>
      </c>
      <c r="D960" t="s">
        <v>80</v>
      </c>
      <c r="E960" t="s">
        <v>16</v>
      </c>
      <c r="F960" t="s">
        <v>17</v>
      </c>
      <c r="G960" t="str">
        <f>"02"</f>
        <v>02</v>
      </c>
      <c r="H960" t="str">
        <f>"3  "</f>
        <v xml:space="preserve">3  </v>
      </c>
      <c r="I960" t="str">
        <f>"2019/03/15"</f>
        <v>2019/03/15</v>
      </c>
      <c r="J960" t="str">
        <f>"510"</f>
        <v>510</v>
      </c>
      <c r="K960" t="str">
        <f>"20270517"</f>
        <v>20270517</v>
      </c>
      <c r="L960" t="s">
        <v>18</v>
      </c>
      <c r="M960" t="str">
        <f>"20180620"</f>
        <v>20180620</v>
      </c>
    </row>
    <row r="961" spans="1:13" x14ac:dyDescent="0.25">
      <c r="A961" t="str">
        <f>"00245461"</f>
        <v>00245461</v>
      </c>
      <c r="B961" t="s">
        <v>2122</v>
      </c>
      <c r="C961" t="s">
        <v>777</v>
      </c>
      <c r="D961" t="s">
        <v>53</v>
      </c>
      <c r="E961" t="s">
        <v>16</v>
      </c>
      <c r="F961" t="s">
        <v>17</v>
      </c>
      <c r="G961" t="str">
        <f>"02"</f>
        <v>02</v>
      </c>
      <c r="H961" t="str">
        <f>"3  "</f>
        <v xml:space="preserve">3  </v>
      </c>
      <c r="I961" t="str">
        <f>"1998/06/17"</f>
        <v>1998/06/17</v>
      </c>
      <c r="J961" t="str">
        <f>"510"</f>
        <v>510</v>
      </c>
      <c r="K961" t="str">
        <f>"20250209"</f>
        <v>20250209</v>
      </c>
      <c r="L961" t="s">
        <v>18</v>
      </c>
      <c r="M961" t="str">
        <f>"19971010"</f>
        <v>19971010</v>
      </c>
    </row>
    <row r="962" spans="1:13" x14ac:dyDescent="0.25">
      <c r="A962" t="str">
        <f>"00260016"</f>
        <v>00260016</v>
      </c>
      <c r="B962" t="s">
        <v>2122</v>
      </c>
      <c r="C962" t="s">
        <v>2039</v>
      </c>
      <c r="D962" t="s">
        <v>97</v>
      </c>
      <c r="E962" t="s">
        <v>26</v>
      </c>
      <c r="F962" t="s">
        <v>17</v>
      </c>
      <c r="G962" t="str">
        <f>"02"</f>
        <v>02</v>
      </c>
      <c r="H962" t="str">
        <f>"7  "</f>
        <v xml:space="preserve">7  </v>
      </c>
      <c r="I962" t="str">
        <f>"2004/07/14"</f>
        <v>2004/07/14</v>
      </c>
      <c r="J962" t="str">
        <f>"110"</f>
        <v>110</v>
      </c>
      <c r="K962" t="s">
        <v>18</v>
      </c>
      <c r="L962" t="s">
        <v>18</v>
      </c>
      <c r="M962" t="str">
        <f>"20020117"</f>
        <v>20020117</v>
      </c>
    </row>
    <row r="963" spans="1:13" x14ac:dyDescent="0.25">
      <c r="A963" t="str">
        <f>"00649474"</f>
        <v>00649474</v>
      </c>
      <c r="B963" t="s">
        <v>2122</v>
      </c>
      <c r="C963" t="s">
        <v>44</v>
      </c>
      <c r="D963" t="s">
        <v>97</v>
      </c>
      <c r="E963" t="s">
        <v>16</v>
      </c>
      <c r="F963" t="s">
        <v>17</v>
      </c>
      <c r="G963" t="str">
        <f>"02"</f>
        <v>02</v>
      </c>
      <c r="H963" t="str">
        <f>"3  "</f>
        <v xml:space="preserve">3  </v>
      </c>
      <c r="I963" t="str">
        <f>"2020/09/02"</f>
        <v>2020/09/02</v>
      </c>
      <c r="J963" t="str">
        <f>"533"</f>
        <v>533</v>
      </c>
      <c r="K963" t="str">
        <f>"20460503"</f>
        <v>20460503</v>
      </c>
      <c r="L963" t="s">
        <v>18</v>
      </c>
      <c r="M963" t="str">
        <f>"20100614"</f>
        <v>20100614</v>
      </c>
    </row>
    <row r="964" spans="1:13" x14ac:dyDescent="0.25">
      <c r="A964" t="str">
        <f>"00650353"</f>
        <v>00650353</v>
      </c>
      <c r="B964" t="s">
        <v>2122</v>
      </c>
      <c r="C964" t="s">
        <v>118</v>
      </c>
      <c r="D964" t="s">
        <v>25</v>
      </c>
      <c r="E964" t="s">
        <v>26</v>
      </c>
      <c r="F964" t="s">
        <v>17</v>
      </c>
      <c r="G964" t="str">
        <f>"02"</f>
        <v>02</v>
      </c>
      <c r="H964" t="str">
        <f>"3  "</f>
        <v xml:space="preserve">3  </v>
      </c>
      <c r="I964" t="str">
        <f>"2020/09/02"</f>
        <v>2020/09/02</v>
      </c>
      <c r="J964" t="str">
        <f>"533"</f>
        <v>533</v>
      </c>
      <c r="K964" t="str">
        <f>"20251231"</f>
        <v>20251231</v>
      </c>
      <c r="L964" t="s">
        <v>18</v>
      </c>
      <c r="M964" t="str">
        <f>"20150415"</f>
        <v>20150415</v>
      </c>
    </row>
    <row r="965" spans="1:13" x14ac:dyDescent="0.25">
      <c r="A965" t="str">
        <f>"00575178"</f>
        <v>00575178</v>
      </c>
      <c r="B965" t="s">
        <v>2122</v>
      </c>
      <c r="C965" t="s">
        <v>2128</v>
      </c>
      <c r="D965" t="s">
        <v>97</v>
      </c>
      <c r="E965" t="s">
        <v>26</v>
      </c>
      <c r="F965" t="s">
        <v>17</v>
      </c>
      <c r="G965" t="str">
        <f>"02"</f>
        <v>02</v>
      </c>
      <c r="H965" t="str">
        <f>"3  "</f>
        <v xml:space="preserve">3  </v>
      </c>
      <c r="I965" t="str">
        <f>"2013/01/15"</f>
        <v>2013/01/15</v>
      </c>
      <c r="J965" t="str">
        <f>"510"</f>
        <v>510</v>
      </c>
      <c r="K965" t="str">
        <f>"20210726"</f>
        <v>20210726</v>
      </c>
      <c r="L965" t="s">
        <v>18</v>
      </c>
      <c r="M965" t="str">
        <f>"20101117"</f>
        <v>20101117</v>
      </c>
    </row>
    <row r="966" spans="1:13" x14ac:dyDescent="0.25">
      <c r="A966" t="str">
        <f>"00195804"</f>
        <v>00195804</v>
      </c>
      <c r="B966" t="s">
        <v>2122</v>
      </c>
      <c r="C966" t="s">
        <v>120</v>
      </c>
      <c r="D966" t="s">
        <v>21</v>
      </c>
      <c r="E966" t="s">
        <v>26</v>
      </c>
      <c r="F966" t="s">
        <v>17</v>
      </c>
      <c r="G966" t="str">
        <f>"02"</f>
        <v>02</v>
      </c>
      <c r="H966" t="str">
        <f>"3  "</f>
        <v xml:space="preserve">3  </v>
      </c>
      <c r="I966" t="str">
        <f>"2014/10/21"</f>
        <v>2014/10/21</v>
      </c>
      <c r="J966" t="str">
        <f>"510"</f>
        <v>510</v>
      </c>
      <c r="K966" t="str">
        <f>"20300216"</f>
        <v>20300216</v>
      </c>
      <c r="L966" t="s">
        <v>18</v>
      </c>
      <c r="M966" t="str">
        <f>"20131106"</f>
        <v>20131106</v>
      </c>
    </row>
    <row r="967" spans="1:13" x14ac:dyDescent="0.25">
      <c r="A967" t="str">
        <f>"00249417"</f>
        <v>00249417</v>
      </c>
      <c r="B967" t="s">
        <v>2122</v>
      </c>
      <c r="C967" t="s">
        <v>136</v>
      </c>
      <c r="D967" t="s">
        <v>37</v>
      </c>
      <c r="E967" t="s">
        <v>26</v>
      </c>
      <c r="F967" t="s">
        <v>17</v>
      </c>
      <c r="G967" t="str">
        <f>"02"</f>
        <v>02</v>
      </c>
      <c r="H967" t="str">
        <f>"7  "</f>
        <v xml:space="preserve">7  </v>
      </c>
      <c r="I967" t="str">
        <f>"2008/06/13"</f>
        <v>2008/06/13</v>
      </c>
      <c r="J967" t="str">
        <f>"503"</f>
        <v>503</v>
      </c>
      <c r="K967" t="s">
        <v>18</v>
      </c>
      <c r="L967" t="s">
        <v>18</v>
      </c>
      <c r="M967" t="str">
        <f>"19980724"</f>
        <v>19980724</v>
      </c>
    </row>
    <row r="968" spans="1:13" x14ac:dyDescent="0.25">
      <c r="A968" t="str">
        <f>"00815374"</f>
        <v>00815374</v>
      </c>
      <c r="B968" t="s">
        <v>2122</v>
      </c>
      <c r="C968" t="s">
        <v>136</v>
      </c>
      <c r="D968" t="s">
        <v>51</v>
      </c>
      <c r="E968" t="s">
        <v>26</v>
      </c>
      <c r="F968" t="s">
        <v>17</v>
      </c>
      <c r="G968" t="str">
        <f>"02"</f>
        <v>02</v>
      </c>
      <c r="H968" t="str">
        <f>"3  "</f>
        <v xml:space="preserve">3  </v>
      </c>
      <c r="I968" t="str">
        <f>"2020/07/21"</f>
        <v>2020/07/21</v>
      </c>
      <c r="J968" t="str">
        <f>"533"</f>
        <v>533</v>
      </c>
      <c r="K968" t="str">
        <f>"20250827"</f>
        <v>20250827</v>
      </c>
      <c r="L968" t="s">
        <v>18</v>
      </c>
      <c r="M968" t="str">
        <f>"20161031"</f>
        <v>20161031</v>
      </c>
    </row>
    <row r="969" spans="1:13" x14ac:dyDescent="0.25">
      <c r="A969" t="str">
        <f>"00689453"</f>
        <v>00689453</v>
      </c>
      <c r="B969" t="s">
        <v>2122</v>
      </c>
      <c r="C969" t="s">
        <v>499</v>
      </c>
      <c r="D969" t="s">
        <v>15</v>
      </c>
      <c r="E969" t="s">
        <v>26</v>
      </c>
      <c r="F969" t="s">
        <v>17</v>
      </c>
      <c r="G969" t="str">
        <f>"02"</f>
        <v>02</v>
      </c>
      <c r="H969" t="str">
        <f>"3  "</f>
        <v xml:space="preserve">3  </v>
      </c>
      <c r="I969" t="str">
        <f>"2019/05/28"</f>
        <v>2019/05/28</v>
      </c>
      <c r="J969" t="str">
        <f>"510"</f>
        <v>510</v>
      </c>
      <c r="K969" t="str">
        <f>"20220811"</f>
        <v>20220811</v>
      </c>
      <c r="L969" t="s">
        <v>18</v>
      </c>
      <c r="M969" t="str">
        <f>"20180130"</f>
        <v>20180130</v>
      </c>
    </row>
    <row r="970" spans="1:13" x14ac:dyDescent="0.25">
      <c r="A970" t="str">
        <f>"00604835"</f>
        <v>00604835</v>
      </c>
      <c r="B970" t="s">
        <v>2122</v>
      </c>
      <c r="C970" t="s">
        <v>2131</v>
      </c>
      <c r="D970" t="s">
        <v>15</v>
      </c>
      <c r="E970" t="s">
        <v>26</v>
      </c>
      <c r="F970" t="s">
        <v>17</v>
      </c>
      <c r="G970" t="str">
        <f>"02"</f>
        <v>02</v>
      </c>
      <c r="H970" t="str">
        <f>"3  "</f>
        <v xml:space="preserve">3  </v>
      </c>
      <c r="I970" t="str">
        <f>"2019/10/14"</f>
        <v>2019/10/14</v>
      </c>
      <c r="J970" t="str">
        <f>"503"</f>
        <v>503</v>
      </c>
      <c r="K970" t="str">
        <f>"20790620"</f>
        <v>20790620</v>
      </c>
      <c r="L970" t="s">
        <v>18</v>
      </c>
      <c r="M970" t="str">
        <f>"20071028"</f>
        <v>20071028</v>
      </c>
    </row>
    <row r="971" spans="1:13" x14ac:dyDescent="0.25">
      <c r="A971" t="str">
        <f>"00861345"</f>
        <v>00861345</v>
      </c>
      <c r="B971" t="s">
        <v>2122</v>
      </c>
      <c r="C971" t="s">
        <v>772</v>
      </c>
      <c r="D971" t="s">
        <v>61</v>
      </c>
      <c r="E971" t="s">
        <v>26</v>
      </c>
      <c r="F971" t="s">
        <v>17</v>
      </c>
      <c r="G971" t="str">
        <f>"02"</f>
        <v>02</v>
      </c>
      <c r="H971" t="str">
        <f>"3  "</f>
        <v xml:space="preserve">3  </v>
      </c>
      <c r="I971" t="str">
        <f>"2018/09/04"</f>
        <v>2018/09/04</v>
      </c>
      <c r="J971" t="str">
        <f>"510"</f>
        <v>510</v>
      </c>
      <c r="K971" t="str">
        <f>"20310131"</f>
        <v>20310131</v>
      </c>
      <c r="L971" t="s">
        <v>18</v>
      </c>
      <c r="M971" t="str">
        <f>"20170717"</f>
        <v>20170717</v>
      </c>
    </row>
    <row r="972" spans="1:13" x14ac:dyDescent="0.25">
      <c r="A972" t="str">
        <f>"00352531"</f>
        <v>00352531</v>
      </c>
      <c r="B972" t="s">
        <v>2122</v>
      </c>
      <c r="C972" t="s">
        <v>213</v>
      </c>
      <c r="D972" t="s">
        <v>15</v>
      </c>
      <c r="E972" t="s">
        <v>16</v>
      </c>
      <c r="F972" t="s">
        <v>17</v>
      </c>
      <c r="G972" t="str">
        <f>"02"</f>
        <v>02</v>
      </c>
      <c r="H972" t="str">
        <f>"3  "</f>
        <v xml:space="preserve">3  </v>
      </c>
      <c r="I972" t="str">
        <f>"2018/08/27"</f>
        <v>2018/08/27</v>
      </c>
      <c r="J972" t="str">
        <f>"503"</f>
        <v>503</v>
      </c>
      <c r="K972" t="str">
        <f>"20221204"</f>
        <v>20221204</v>
      </c>
      <c r="L972" t="s">
        <v>18</v>
      </c>
      <c r="M972" t="str">
        <f>"20140131"</f>
        <v>20140131</v>
      </c>
    </row>
    <row r="973" spans="1:13" x14ac:dyDescent="0.25">
      <c r="A973" t="str">
        <f>"00848379"</f>
        <v>00848379</v>
      </c>
      <c r="B973" t="s">
        <v>2122</v>
      </c>
      <c r="C973" t="s">
        <v>666</v>
      </c>
      <c r="D973" t="s">
        <v>45</v>
      </c>
      <c r="E973" t="s">
        <v>26</v>
      </c>
      <c r="F973" t="s">
        <v>17</v>
      </c>
      <c r="G973" t="str">
        <f>"02"</f>
        <v>02</v>
      </c>
      <c r="H973" t="str">
        <f>"7  "</f>
        <v xml:space="preserve">7  </v>
      </c>
      <c r="I973" t="str">
        <f>"2018/10/12"</f>
        <v>2018/10/12</v>
      </c>
      <c r="J973" t="str">
        <f>"510"</f>
        <v>510</v>
      </c>
      <c r="K973" t="s">
        <v>18</v>
      </c>
      <c r="L973" t="s">
        <v>18</v>
      </c>
      <c r="M973" t="str">
        <f>"20180829"</f>
        <v>20180829</v>
      </c>
    </row>
    <row r="974" spans="1:13" x14ac:dyDescent="0.25">
      <c r="A974" t="str">
        <f>"00405727"</f>
        <v>00405727</v>
      </c>
      <c r="B974" t="s">
        <v>2122</v>
      </c>
      <c r="C974" t="s">
        <v>641</v>
      </c>
      <c r="D974" t="s">
        <v>21</v>
      </c>
      <c r="E974" t="s">
        <v>26</v>
      </c>
      <c r="F974" t="s">
        <v>17</v>
      </c>
      <c r="G974" t="str">
        <f>"02"</f>
        <v>02</v>
      </c>
      <c r="H974" t="str">
        <f>"3  "</f>
        <v xml:space="preserve">3  </v>
      </c>
      <c r="I974" t="str">
        <f>"2015/05/01"</f>
        <v>2015/05/01</v>
      </c>
      <c r="J974" t="str">
        <f>"510"</f>
        <v>510</v>
      </c>
      <c r="K974" t="str">
        <f>"20231019"</f>
        <v>20231019</v>
      </c>
      <c r="L974" t="s">
        <v>18</v>
      </c>
      <c r="M974" t="str">
        <f>"20141227"</f>
        <v>20141227</v>
      </c>
    </row>
    <row r="975" spans="1:13" x14ac:dyDescent="0.25">
      <c r="A975" t="str">
        <f>"00733586"</f>
        <v>00733586</v>
      </c>
      <c r="B975" t="s">
        <v>2122</v>
      </c>
      <c r="C975" t="s">
        <v>2134</v>
      </c>
      <c r="D975" t="s">
        <v>25</v>
      </c>
      <c r="E975" t="s">
        <v>26</v>
      </c>
      <c r="F975" t="s">
        <v>17</v>
      </c>
      <c r="G975" t="str">
        <f>"02"</f>
        <v>02</v>
      </c>
      <c r="H975" t="str">
        <f>"3  "</f>
        <v xml:space="preserve">3  </v>
      </c>
      <c r="I975" t="str">
        <f>"2020/03/10"</f>
        <v>2020/03/10</v>
      </c>
      <c r="J975" t="str">
        <f>"110"</f>
        <v>110</v>
      </c>
      <c r="K975" t="str">
        <f>"20240405"</f>
        <v>20240405</v>
      </c>
      <c r="L975" t="s">
        <v>18</v>
      </c>
      <c r="M975" t="str">
        <f>"20190921"</f>
        <v>20190921</v>
      </c>
    </row>
    <row r="976" spans="1:13" x14ac:dyDescent="0.25">
      <c r="A976" t="str">
        <f>"00714201"</f>
        <v>00714201</v>
      </c>
      <c r="B976" t="s">
        <v>2122</v>
      </c>
      <c r="C976" t="s">
        <v>790</v>
      </c>
      <c r="D976" t="s">
        <v>21</v>
      </c>
      <c r="E976" t="s">
        <v>26</v>
      </c>
      <c r="F976" t="s">
        <v>17</v>
      </c>
      <c r="G976" t="str">
        <f>"02"</f>
        <v>02</v>
      </c>
      <c r="H976" t="str">
        <f>"3  "</f>
        <v xml:space="preserve">3  </v>
      </c>
      <c r="I976" t="str">
        <f>"2020/02/14"</f>
        <v>2020/02/14</v>
      </c>
      <c r="J976" t="str">
        <f>"503"</f>
        <v>503</v>
      </c>
      <c r="K976" t="str">
        <f>"20210429"</f>
        <v>20210429</v>
      </c>
      <c r="L976" t="s">
        <v>18</v>
      </c>
      <c r="M976" t="str">
        <f>"20180904"</f>
        <v>20180904</v>
      </c>
    </row>
    <row r="977" spans="1:13" x14ac:dyDescent="0.25">
      <c r="A977" t="str">
        <f>"00586992"</f>
        <v>00586992</v>
      </c>
      <c r="B977" t="s">
        <v>2122</v>
      </c>
      <c r="C977" t="s">
        <v>1409</v>
      </c>
      <c r="D977" t="s">
        <v>25</v>
      </c>
      <c r="E977" t="s">
        <v>26</v>
      </c>
      <c r="F977" t="s">
        <v>17</v>
      </c>
      <c r="G977" t="str">
        <f>"02"</f>
        <v>02</v>
      </c>
      <c r="H977" t="str">
        <f>"1  "</f>
        <v xml:space="preserve">1  </v>
      </c>
      <c r="I977" t="str">
        <f>"2020/07/02"</f>
        <v>2020/07/02</v>
      </c>
      <c r="J977" t="str">
        <f>"505"</f>
        <v>505</v>
      </c>
      <c r="K977" t="str">
        <f>"20201126"</f>
        <v>20201126</v>
      </c>
      <c r="L977" t="s">
        <v>18</v>
      </c>
      <c r="M977" t="str">
        <f>"20200615"</f>
        <v>20200615</v>
      </c>
    </row>
    <row r="978" spans="1:13" x14ac:dyDescent="0.25">
      <c r="A978" t="str">
        <f>"00870557"</f>
        <v>00870557</v>
      </c>
      <c r="B978" t="s">
        <v>2122</v>
      </c>
      <c r="C978" t="s">
        <v>327</v>
      </c>
      <c r="D978" t="s">
        <v>45</v>
      </c>
      <c r="E978" t="s">
        <v>16</v>
      </c>
      <c r="F978" t="s">
        <v>17</v>
      </c>
      <c r="G978" t="str">
        <f>"02"</f>
        <v>02</v>
      </c>
      <c r="H978" t="str">
        <f>"3  "</f>
        <v xml:space="preserve">3  </v>
      </c>
      <c r="I978" t="str">
        <f>"2019/01/18"</f>
        <v>2019/01/18</v>
      </c>
      <c r="J978" t="str">
        <f>"510"</f>
        <v>510</v>
      </c>
      <c r="K978" t="str">
        <f>"20531202"</f>
        <v>20531202</v>
      </c>
      <c r="L978" t="s">
        <v>18</v>
      </c>
      <c r="M978" t="str">
        <f>"20171214"</f>
        <v>20171214</v>
      </c>
    </row>
    <row r="979" spans="1:13" x14ac:dyDescent="0.25">
      <c r="A979" t="str">
        <f>"00449548"</f>
        <v>00449548</v>
      </c>
      <c r="B979" t="s">
        <v>2122</v>
      </c>
      <c r="C979" t="s">
        <v>398</v>
      </c>
      <c r="D979" t="s">
        <v>215</v>
      </c>
      <c r="E979" t="s">
        <v>16</v>
      </c>
      <c r="F979" t="s">
        <v>17</v>
      </c>
      <c r="G979" t="str">
        <f>"02"</f>
        <v>02</v>
      </c>
      <c r="H979" t="str">
        <f>"3  "</f>
        <v xml:space="preserve">3  </v>
      </c>
      <c r="I979" t="str">
        <f>"2020/09/02"</f>
        <v>2020/09/02</v>
      </c>
      <c r="J979" t="str">
        <f>"533"</f>
        <v>533</v>
      </c>
      <c r="K979" t="str">
        <f>"20420528"</f>
        <v>20420528</v>
      </c>
      <c r="L979" t="s">
        <v>18</v>
      </c>
      <c r="M979" t="str">
        <f>"20110224"</f>
        <v>20110224</v>
      </c>
    </row>
    <row r="980" spans="1:13" x14ac:dyDescent="0.25">
      <c r="A980" t="str">
        <f>"00065096"</f>
        <v>00065096</v>
      </c>
      <c r="B980" t="s">
        <v>2122</v>
      </c>
      <c r="C980" t="s">
        <v>1226</v>
      </c>
      <c r="D980" t="s">
        <v>51</v>
      </c>
      <c r="E980" t="s">
        <v>26</v>
      </c>
      <c r="F980" t="s">
        <v>17</v>
      </c>
      <c r="G980" t="str">
        <f>"02"</f>
        <v>02</v>
      </c>
      <c r="H980" t="str">
        <f>"7  "</f>
        <v xml:space="preserve">7  </v>
      </c>
      <c r="I980" t="str">
        <f>"1978/11/22"</f>
        <v>1978/11/22</v>
      </c>
      <c r="J980" t="str">
        <f>"990"</f>
        <v>990</v>
      </c>
      <c r="K980" t="s">
        <v>18</v>
      </c>
      <c r="L980" t="str">
        <f>"20171001"</f>
        <v>20171001</v>
      </c>
      <c r="M980" t="str">
        <f>"19710610"</f>
        <v>19710610</v>
      </c>
    </row>
    <row r="981" spans="1:13" x14ac:dyDescent="0.25">
      <c r="A981" t="str">
        <f>"00358258"</f>
        <v>00358258</v>
      </c>
      <c r="B981" t="s">
        <v>2122</v>
      </c>
      <c r="C981" t="s">
        <v>791</v>
      </c>
      <c r="D981" t="s">
        <v>25</v>
      </c>
      <c r="E981" t="s">
        <v>26</v>
      </c>
      <c r="F981" t="s">
        <v>17</v>
      </c>
      <c r="G981" t="str">
        <f>"02"</f>
        <v>02</v>
      </c>
      <c r="H981" t="str">
        <f>"0  "</f>
        <v xml:space="preserve">0  </v>
      </c>
      <c r="I981" t="str">
        <f>"2020/04/23"</f>
        <v>2020/04/23</v>
      </c>
      <c r="J981" t="str">
        <f>"420"</f>
        <v>420</v>
      </c>
      <c r="K981" t="s">
        <v>18</v>
      </c>
      <c r="L981" t="s">
        <v>18</v>
      </c>
      <c r="M981" t="s">
        <v>18</v>
      </c>
    </row>
    <row r="982" spans="1:13" x14ac:dyDescent="0.25">
      <c r="A982" t="str">
        <f>"00118723"</f>
        <v>00118723</v>
      </c>
      <c r="B982" t="s">
        <v>2122</v>
      </c>
      <c r="C982" t="s">
        <v>55</v>
      </c>
      <c r="D982" t="s">
        <v>51</v>
      </c>
      <c r="E982" t="s">
        <v>26</v>
      </c>
      <c r="F982" t="s">
        <v>17</v>
      </c>
      <c r="G982" t="str">
        <f>"02"</f>
        <v>02</v>
      </c>
      <c r="H982" t="str">
        <f>"3  "</f>
        <v xml:space="preserve">3  </v>
      </c>
      <c r="I982" t="str">
        <f>"2006/12/29"</f>
        <v>2006/12/29</v>
      </c>
      <c r="J982" t="str">
        <f>"510"</f>
        <v>510</v>
      </c>
      <c r="K982" t="str">
        <f>"20290211"</f>
        <v>20290211</v>
      </c>
      <c r="L982" t="s">
        <v>18</v>
      </c>
      <c r="M982" t="str">
        <f>"20050904"</f>
        <v>20050904</v>
      </c>
    </row>
    <row r="983" spans="1:13" x14ac:dyDescent="0.25">
      <c r="A983" t="str">
        <f>"00535348"</f>
        <v>00535348</v>
      </c>
      <c r="B983" t="s">
        <v>2122</v>
      </c>
      <c r="C983" t="s">
        <v>2139</v>
      </c>
      <c r="D983" t="s">
        <v>15</v>
      </c>
      <c r="E983" t="s">
        <v>26</v>
      </c>
      <c r="F983" t="s">
        <v>17</v>
      </c>
      <c r="G983" t="str">
        <f>"02"</f>
        <v>02</v>
      </c>
      <c r="H983" t="str">
        <f>"3  "</f>
        <v xml:space="preserve">3  </v>
      </c>
      <c r="I983" t="str">
        <f>"2019/06/07"</f>
        <v>2019/06/07</v>
      </c>
      <c r="J983" t="str">
        <f>"110"</f>
        <v>110</v>
      </c>
      <c r="K983" t="str">
        <f>"20440926"</f>
        <v>20440926</v>
      </c>
      <c r="L983" t="s">
        <v>18</v>
      </c>
      <c r="M983" t="str">
        <f>"20171004"</f>
        <v>20171004</v>
      </c>
    </row>
    <row r="984" spans="1:13" x14ac:dyDescent="0.25">
      <c r="A984" t="str">
        <f>"00210865"</f>
        <v>00210865</v>
      </c>
      <c r="B984" t="s">
        <v>2122</v>
      </c>
      <c r="C984" t="s">
        <v>2140</v>
      </c>
      <c r="D984" t="s">
        <v>215</v>
      </c>
      <c r="E984" t="s">
        <v>26</v>
      </c>
      <c r="F984" t="s">
        <v>17</v>
      </c>
      <c r="G984" t="str">
        <f>"02"</f>
        <v>02</v>
      </c>
      <c r="H984" t="str">
        <f>"3  "</f>
        <v xml:space="preserve">3  </v>
      </c>
      <c r="I984" t="str">
        <f>"2018/08/30"</f>
        <v>2018/08/30</v>
      </c>
      <c r="J984" t="str">
        <f>"503"</f>
        <v>503</v>
      </c>
      <c r="K984" t="str">
        <f>"20260805"</f>
        <v>20260805</v>
      </c>
      <c r="L984" t="s">
        <v>18</v>
      </c>
      <c r="M984" t="str">
        <f>"20090131"</f>
        <v>20090131</v>
      </c>
    </row>
    <row r="985" spans="1:13" x14ac:dyDescent="0.25">
      <c r="A985" t="str">
        <f>"00601667"</f>
        <v>00601667</v>
      </c>
      <c r="B985" t="s">
        <v>2122</v>
      </c>
      <c r="C985" t="s">
        <v>2141</v>
      </c>
      <c r="D985" t="s">
        <v>15</v>
      </c>
      <c r="E985" t="s">
        <v>26</v>
      </c>
      <c r="F985" t="s">
        <v>17</v>
      </c>
      <c r="G985" t="str">
        <f>"02"</f>
        <v>02</v>
      </c>
      <c r="H985" t="str">
        <f>"3  "</f>
        <v xml:space="preserve">3  </v>
      </c>
      <c r="I985" t="str">
        <f>"2020/08/05"</f>
        <v>2020/08/05</v>
      </c>
      <c r="J985" t="str">
        <f>"503"</f>
        <v>503</v>
      </c>
      <c r="K985" t="str">
        <f>"20330820"</f>
        <v>20330820</v>
      </c>
      <c r="L985" t="s">
        <v>18</v>
      </c>
      <c r="M985" t="str">
        <f>"20200203"</f>
        <v>20200203</v>
      </c>
    </row>
    <row r="986" spans="1:13" x14ac:dyDescent="0.25">
      <c r="A986" t="str">
        <f>"00168310"</f>
        <v>00168310</v>
      </c>
      <c r="B986" t="s">
        <v>2122</v>
      </c>
      <c r="C986" t="s">
        <v>402</v>
      </c>
      <c r="D986" t="s">
        <v>51</v>
      </c>
      <c r="E986" t="s">
        <v>26</v>
      </c>
      <c r="F986" t="s">
        <v>17</v>
      </c>
      <c r="G986" t="str">
        <f>"02"</f>
        <v>02</v>
      </c>
      <c r="H986" t="str">
        <f>"3  "</f>
        <v xml:space="preserve">3  </v>
      </c>
      <c r="I986" t="str">
        <f>"2020/08/05"</f>
        <v>2020/08/05</v>
      </c>
      <c r="J986" t="str">
        <f>"533"</f>
        <v>533</v>
      </c>
      <c r="K986" t="str">
        <f>"21531117"</f>
        <v>21531117</v>
      </c>
      <c r="L986" t="s">
        <v>18</v>
      </c>
      <c r="M986" t="str">
        <f>"19970110"</f>
        <v>19970110</v>
      </c>
    </row>
    <row r="987" spans="1:13" x14ac:dyDescent="0.25">
      <c r="A987" t="str">
        <f>"00417560"</f>
        <v>00417560</v>
      </c>
      <c r="B987" t="s">
        <v>2122</v>
      </c>
      <c r="C987" t="s">
        <v>2143</v>
      </c>
      <c r="D987" t="s">
        <v>40</v>
      </c>
      <c r="E987" t="s">
        <v>16</v>
      </c>
      <c r="F987" t="s">
        <v>17</v>
      </c>
      <c r="G987" t="str">
        <f>"02"</f>
        <v>02</v>
      </c>
      <c r="H987" t="str">
        <f>"3  "</f>
        <v xml:space="preserve">3  </v>
      </c>
      <c r="I987" t="str">
        <f>"2015/11/23"</f>
        <v>2015/11/23</v>
      </c>
      <c r="J987" t="str">
        <f>"510"</f>
        <v>510</v>
      </c>
      <c r="K987" t="str">
        <f>"20730706"</f>
        <v>20730706</v>
      </c>
      <c r="L987" t="s">
        <v>18</v>
      </c>
      <c r="M987" t="str">
        <f>"20130610"</f>
        <v>20130610</v>
      </c>
    </row>
    <row r="988" spans="1:13" x14ac:dyDescent="0.25">
      <c r="A988" t="str">
        <f>"00598467"</f>
        <v>00598467</v>
      </c>
      <c r="B988" t="s">
        <v>2122</v>
      </c>
      <c r="C988" t="s">
        <v>138</v>
      </c>
      <c r="D988" t="s">
        <v>37</v>
      </c>
      <c r="E988" t="s">
        <v>26</v>
      </c>
      <c r="F988" t="s">
        <v>17</v>
      </c>
      <c r="G988" t="str">
        <f>"02"</f>
        <v>02</v>
      </c>
      <c r="H988" t="str">
        <f>"3  "</f>
        <v xml:space="preserve">3  </v>
      </c>
      <c r="I988" t="str">
        <f>"2020/09/16"</f>
        <v>2020/09/16</v>
      </c>
      <c r="J988" t="str">
        <f>"533"</f>
        <v>533</v>
      </c>
      <c r="K988" t="str">
        <f>"20340719"</f>
        <v>20340719</v>
      </c>
      <c r="L988" t="s">
        <v>18</v>
      </c>
      <c r="M988" t="str">
        <f>"20080101"</f>
        <v>20080101</v>
      </c>
    </row>
    <row r="989" spans="1:13" x14ac:dyDescent="0.25">
      <c r="A989" t="str">
        <f>"00282381"</f>
        <v>00282381</v>
      </c>
      <c r="B989" t="s">
        <v>2144</v>
      </c>
      <c r="C989" t="s">
        <v>755</v>
      </c>
      <c r="D989" t="s">
        <v>73</v>
      </c>
      <c r="E989" t="s">
        <v>26</v>
      </c>
      <c r="F989" t="s">
        <v>17</v>
      </c>
      <c r="G989" t="str">
        <f>"02"</f>
        <v>02</v>
      </c>
      <c r="H989" t="str">
        <f>"3  "</f>
        <v xml:space="preserve">3  </v>
      </c>
      <c r="I989" t="str">
        <f>"2020/01/24"</f>
        <v>2020/01/24</v>
      </c>
      <c r="J989" t="str">
        <f>"510"</f>
        <v>510</v>
      </c>
      <c r="K989" t="str">
        <f>"20260812"</f>
        <v>20260812</v>
      </c>
      <c r="L989" t="s">
        <v>18</v>
      </c>
      <c r="M989" t="str">
        <f>"20190518"</f>
        <v>20190518</v>
      </c>
    </row>
    <row r="990" spans="1:13" x14ac:dyDescent="0.25">
      <c r="A990" t="str">
        <f>"00333767"</f>
        <v>00333767</v>
      </c>
      <c r="B990" t="s">
        <v>2150</v>
      </c>
      <c r="C990" t="s">
        <v>2151</v>
      </c>
      <c r="D990" t="s">
        <v>51</v>
      </c>
      <c r="E990" t="s">
        <v>26</v>
      </c>
      <c r="F990" t="s">
        <v>17</v>
      </c>
      <c r="G990" t="str">
        <f>"02"</f>
        <v>02</v>
      </c>
      <c r="H990" t="str">
        <f>"7  "</f>
        <v xml:space="preserve">7  </v>
      </c>
      <c r="I990" t="str">
        <f>"2003/04/29"</f>
        <v>2003/04/29</v>
      </c>
      <c r="J990" t="str">
        <f>"110"</f>
        <v>110</v>
      </c>
      <c r="K990" t="s">
        <v>18</v>
      </c>
      <c r="L990" t="s">
        <v>18</v>
      </c>
      <c r="M990" t="str">
        <f>"20020223"</f>
        <v>20020223</v>
      </c>
    </row>
    <row r="991" spans="1:13" x14ac:dyDescent="0.25">
      <c r="A991" t="str">
        <f>"00786081"</f>
        <v>00786081</v>
      </c>
      <c r="B991" t="s">
        <v>2150</v>
      </c>
      <c r="C991" t="s">
        <v>849</v>
      </c>
      <c r="D991" t="s">
        <v>15</v>
      </c>
      <c r="E991" t="s">
        <v>26</v>
      </c>
      <c r="F991" t="s">
        <v>17</v>
      </c>
      <c r="G991" t="str">
        <f>"02"</f>
        <v>02</v>
      </c>
      <c r="H991" t="str">
        <f>"3  "</f>
        <v xml:space="preserve">3  </v>
      </c>
      <c r="I991" t="str">
        <f>"2016/11/28"</f>
        <v>2016/11/28</v>
      </c>
      <c r="J991" t="str">
        <f>"510"</f>
        <v>510</v>
      </c>
      <c r="K991" t="str">
        <f>"20330224"</f>
        <v>20330224</v>
      </c>
      <c r="L991" t="s">
        <v>18</v>
      </c>
      <c r="M991" t="str">
        <f>"20150209"</f>
        <v>20150209</v>
      </c>
    </row>
    <row r="992" spans="1:13" x14ac:dyDescent="0.25">
      <c r="A992" t="str">
        <f>"00488938"</f>
        <v>00488938</v>
      </c>
      <c r="B992" t="s">
        <v>2163</v>
      </c>
      <c r="C992" t="s">
        <v>1658</v>
      </c>
      <c r="D992" t="s">
        <v>51</v>
      </c>
      <c r="E992" t="s">
        <v>16</v>
      </c>
      <c r="F992" t="s">
        <v>17</v>
      </c>
      <c r="G992" t="str">
        <f>"02"</f>
        <v>02</v>
      </c>
      <c r="H992" t="str">
        <f>"3  "</f>
        <v xml:space="preserve">3  </v>
      </c>
      <c r="I992" t="str">
        <f>"2020/09/18"</f>
        <v>2020/09/18</v>
      </c>
      <c r="J992" t="str">
        <f>"504"</f>
        <v>504</v>
      </c>
      <c r="K992" t="str">
        <f>"20200927"</f>
        <v>20200927</v>
      </c>
      <c r="L992" t="s">
        <v>18</v>
      </c>
      <c r="M992" t="str">
        <f>"20160804"</f>
        <v>20160804</v>
      </c>
    </row>
    <row r="993" spans="1:13" x14ac:dyDescent="0.25">
      <c r="A993" t="str">
        <f>"00141514"</f>
        <v>00141514</v>
      </c>
      <c r="B993" t="s">
        <v>2164</v>
      </c>
      <c r="C993" t="s">
        <v>96</v>
      </c>
      <c r="D993" t="s">
        <v>73</v>
      </c>
      <c r="E993" t="s">
        <v>16</v>
      </c>
      <c r="F993" t="s">
        <v>17</v>
      </c>
      <c r="G993" t="str">
        <f>"02"</f>
        <v>02</v>
      </c>
      <c r="H993" t="str">
        <f>"3  "</f>
        <v xml:space="preserve">3  </v>
      </c>
      <c r="I993" t="str">
        <f>"2011/12/21"</f>
        <v>2011/12/21</v>
      </c>
      <c r="J993" t="str">
        <f>"110"</f>
        <v>110</v>
      </c>
      <c r="K993" t="str">
        <f>"20220316"</f>
        <v>20220316</v>
      </c>
      <c r="L993" t="s">
        <v>18</v>
      </c>
      <c r="M993" t="str">
        <f>"20100204"</f>
        <v>20100204</v>
      </c>
    </row>
    <row r="994" spans="1:13" x14ac:dyDescent="0.25">
      <c r="A994" t="str">
        <f>"00529029"</f>
        <v>00529029</v>
      </c>
      <c r="B994" t="s">
        <v>2165</v>
      </c>
      <c r="C994" t="s">
        <v>2166</v>
      </c>
      <c r="D994" t="s">
        <v>25</v>
      </c>
      <c r="E994" t="s">
        <v>26</v>
      </c>
      <c r="F994" t="s">
        <v>17</v>
      </c>
      <c r="G994" t="str">
        <f>"02"</f>
        <v>02</v>
      </c>
      <c r="H994" t="str">
        <f>"3  "</f>
        <v xml:space="preserve">3  </v>
      </c>
      <c r="I994" t="str">
        <f>"2012/09/11"</f>
        <v>2012/09/11</v>
      </c>
      <c r="J994" t="str">
        <f>"510"</f>
        <v>510</v>
      </c>
      <c r="K994" t="str">
        <f>"20201204"</f>
        <v>20201204</v>
      </c>
      <c r="L994" t="s">
        <v>18</v>
      </c>
      <c r="M994" t="str">
        <f>"20101013"</f>
        <v>20101013</v>
      </c>
    </row>
    <row r="995" spans="1:13" x14ac:dyDescent="0.25">
      <c r="A995" t="str">
        <f>"00516004"</f>
        <v>00516004</v>
      </c>
      <c r="B995" t="s">
        <v>2167</v>
      </c>
      <c r="C995" t="s">
        <v>2168</v>
      </c>
      <c r="D995" t="s">
        <v>51</v>
      </c>
      <c r="E995" t="s">
        <v>26</v>
      </c>
      <c r="F995" t="s">
        <v>17</v>
      </c>
      <c r="G995" t="str">
        <f>"02"</f>
        <v>02</v>
      </c>
      <c r="H995" t="str">
        <f>"3  "</f>
        <v xml:space="preserve">3  </v>
      </c>
      <c r="I995" t="str">
        <f>"2013/05/06"</f>
        <v>2013/05/06</v>
      </c>
      <c r="J995" t="str">
        <f>"110"</f>
        <v>110</v>
      </c>
      <c r="K995" t="str">
        <f>"20560701"</f>
        <v>20560701</v>
      </c>
      <c r="L995" t="s">
        <v>18</v>
      </c>
      <c r="M995" t="str">
        <f>"20120113"</f>
        <v>20120113</v>
      </c>
    </row>
    <row r="996" spans="1:13" x14ac:dyDescent="0.25">
      <c r="A996" t="str">
        <f>"00004708"</f>
        <v>00004708</v>
      </c>
      <c r="B996" t="s">
        <v>2167</v>
      </c>
      <c r="C996" t="s">
        <v>59</v>
      </c>
      <c r="D996" t="s">
        <v>91</v>
      </c>
      <c r="E996" t="s">
        <v>16</v>
      </c>
      <c r="F996" t="s">
        <v>17</v>
      </c>
      <c r="G996" t="str">
        <f>"02"</f>
        <v>02</v>
      </c>
      <c r="H996" t="str">
        <f>"7  "</f>
        <v xml:space="preserve">7  </v>
      </c>
      <c r="I996" t="str">
        <f>"2008/08/22"</f>
        <v>2008/08/22</v>
      </c>
      <c r="J996" t="str">
        <f>"531"</f>
        <v>531</v>
      </c>
      <c r="K996" t="s">
        <v>18</v>
      </c>
      <c r="L996" t="s">
        <v>18</v>
      </c>
      <c r="M996" t="str">
        <f>"20061204"</f>
        <v>20061204</v>
      </c>
    </row>
    <row r="997" spans="1:13" x14ac:dyDescent="0.25">
      <c r="A997" t="str">
        <f>"00531972"</f>
        <v>00531972</v>
      </c>
      <c r="B997" t="s">
        <v>2172</v>
      </c>
      <c r="C997" t="s">
        <v>333</v>
      </c>
      <c r="D997" t="s">
        <v>15</v>
      </c>
      <c r="E997" t="s">
        <v>16</v>
      </c>
      <c r="F997" t="s">
        <v>17</v>
      </c>
      <c r="G997" t="str">
        <f>"02"</f>
        <v>02</v>
      </c>
      <c r="H997" t="str">
        <f>"3  "</f>
        <v xml:space="preserve">3  </v>
      </c>
      <c r="I997" t="str">
        <f>"2005/12/20"</f>
        <v>2005/12/20</v>
      </c>
      <c r="J997" t="str">
        <f>"110"</f>
        <v>110</v>
      </c>
      <c r="K997" t="str">
        <f>"20400313"</f>
        <v>20400313</v>
      </c>
      <c r="L997" t="s">
        <v>18</v>
      </c>
      <c r="M997" t="str">
        <f>"20040726"</f>
        <v>20040726</v>
      </c>
    </row>
    <row r="998" spans="1:13" x14ac:dyDescent="0.25">
      <c r="A998" t="str">
        <f>"00567557"</f>
        <v>00567557</v>
      </c>
      <c r="B998" t="s">
        <v>2173</v>
      </c>
      <c r="C998" t="s">
        <v>2174</v>
      </c>
      <c r="D998" t="s">
        <v>61</v>
      </c>
      <c r="E998" t="s">
        <v>26</v>
      </c>
      <c r="F998" t="s">
        <v>17</v>
      </c>
      <c r="G998" t="str">
        <f>"02"</f>
        <v>02</v>
      </c>
      <c r="H998" t="str">
        <f>"3  "</f>
        <v xml:space="preserve">3  </v>
      </c>
      <c r="I998" t="str">
        <f>"2009/11/03"</f>
        <v>2009/11/03</v>
      </c>
      <c r="J998" t="str">
        <f>"534"</f>
        <v>534</v>
      </c>
      <c r="K998" t="str">
        <f>"20360714"</f>
        <v>20360714</v>
      </c>
      <c r="L998" t="s">
        <v>18</v>
      </c>
      <c r="M998" t="str">
        <f>"20061102"</f>
        <v>20061102</v>
      </c>
    </row>
    <row r="999" spans="1:13" x14ac:dyDescent="0.25">
      <c r="A999" t="str">
        <f>"00070100"</f>
        <v>00070100</v>
      </c>
      <c r="B999" t="s">
        <v>2175</v>
      </c>
      <c r="C999" t="s">
        <v>827</v>
      </c>
      <c r="D999" t="s">
        <v>51</v>
      </c>
      <c r="E999" t="s">
        <v>16</v>
      </c>
      <c r="F999" t="s">
        <v>17</v>
      </c>
      <c r="G999" t="str">
        <f>"02"</f>
        <v>02</v>
      </c>
      <c r="H999" t="str">
        <f>"7  "</f>
        <v xml:space="preserve">7  </v>
      </c>
      <c r="I999" t="str">
        <f>"1979/08/07"</f>
        <v>1979/08/07</v>
      </c>
      <c r="J999" t="str">
        <f>"114"</f>
        <v>114</v>
      </c>
      <c r="K999" t="s">
        <v>18</v>
      </c>
      <c r="L999" t="str">
        <f>"20031130"</f>
        <v>20031130</v>
      </c>
      <c r="M999" t="str">
        <f>"19790315"</f>
        <v>19790315</v>
      </c>
    </row>
    <row r="1000" spans="1:13" x14ac:dyDescent="0.25">
      <c r="A1000" t="str">
        <f>"00195859"</f>
        <v>00195859</v>
      </c>
      <c r="B1000" t="s">
        <v>2176</v>
      </c>
      <c r="C1000" t="s">
        <v>358</v>
      </c>
      <c r="D1000" t="s">
        <v>51</v>
      </c>
      <c r="E1000" t="s">
        <v>16</v>
      </c>
      <c r="F1000" t="s">
        <v>17</v>
      </c>
      <c r="G1000" t="str">
        <f>"02"</f>
        <v>02</v>
      </c>
      <c r="H1000" t="str">
        <f>"3  "</f>
        <v xml:space="preserve">3  </v>
      </c>
      <c r="I1000" t="str">
        <f>"2018/01/10"</f>
        <v>2018/01/10</v>
      </c>
      <c r="J1000" t="str">
        <f>"110"</f>
        <v>110</v>
      </c>
      <c r="K1000" t="str">
        <f>"20870702"</f>
        <v>20870702</v>
      </c>
      <c r="L1000" t="s">
        <v>18</v>
      </c>
      <c r="M1000" t="str">
        <f>"20170301"</f>
        <v>20170301</v>
      </c>
    </row>
    <row r="1001" spans="1:13" x14ac:dyDescent="0.25">
      <c r="A1001" t="str">
        <f>"00144803"</f>
        <v>00144803</v>
      </c>
      <c r="B1001" t="s">
        <v>2177</v>
      </c>
      <c r="C1001" t="s">
        <v>2179</v>
      </c>
      <c r="D1001" t="s">
        <v>53</v>
      </c>
      <c r="E1001" t="s">
        <v>26</v>
      </c>
      <c r="F1001" t="s">
        <v>17</v>
      </c>
      <c r="G1001" t="str">
        <f>"02"</f>
        <v>02</v>
      </c>
      <c r="H1001" t="str">
        <f>"7  "</f>
        <v xml:space="preserve">7  </v>
      </c>
      <c r="I1001" t="str">
        <f>"2001/01/03"</f>
        <v>2001/01/03</v>
      </c>
      <c r="J1001" t="str">
        <f>"533"</f>
        <v>533</v>
      </c>
      <c r="K1001" t="s">
        <v>18</v>
      </c>
      <c r="L1001" t="s">
        <v>18</v>
      </c>
      <c r="M1001" t="str">
        <f>"19900721"</f>
        <v>19900721</v>
      </c>
    </row>
    <row r="1002" spans="1:13" x14ac:dyDescent="0.25">
      <c r="A1002" t="str">
        <f>"00267183"</f>
        <v>00267183</v>
      </c>
      <c r="B1002" t="s">
        <v>2177</v>
      </c>
      <c r="C1002" t="s">
        <v>125</v>
      </c>
      <c r="D1002" t="s">
        <v>51</v>
      </c>
      <c r="E1002" t="s">
        <v>26</v>
      </c>
      <c r="F1002" t="s">
        <v>17</v>
      </c>
      <c r="G1002" t="str">
        <f>"02"</f>
        <v>02</v>
      </c>
      <c r="H1002" t="str">
        <f>"7  "</f>
        <v xml:space="preserve">7  </v>
      </c>
      <c r="I1002" t="str">
        <f>"2019/10/31"</f>
        <v>2019/10/31</v>
      </c>
      <c r="J1002" t="str">
        <f>"533"</f>
        <v>533</v>
      </c>
      <c r="K1002" t="s">
        <v>18</v>
      </c>
      <c r="L1002" t="s">
        <v>18</v>
      </c>
      <c r="M1002" t="str">
        <f>"20150626"</f>
        <v>20150626</v>
      </c>
    </row>
    <row r="1003" spans="1:13" x14ac:dyDescent="0.25">
      <c r="A1003" t="str">
        <f>"00441031"</f>
        <v>00441031</v>
      </c>
      <c r="B1003" t="s">
        <v>2185</v>
      </c>
      <c r="C1003" t="s">
        <v>714</v>
      </c>
      <c r="D1003" t="s">
        <v>215</v>
      </c>
      <c r="E1003" t="s">
        <v>26</v>
      </c>
      <c r="F1003" t="s">
        <v>17</v>
      </c>
      <c r="G1003" t="str">
        <f>"02"</f>
        <v>02</v>
      </c>
      <c r="H1003" t="str">
        <f>"3  "</f>
        <v xml:space="preserve">3  </v>
      </c>
      <c r="I1003" t="str">
        <f>"2020/07/21"</f>
        <v>2020/07/21</v>
      </c>
      <c r="J1003" t="str">
        <f>"533"</f>
        <v>533</v>
      </c>
      <c r="K1003" t="str">
        <f>"20300920"</f>
        <v>20300920</v>
      </c>
      <c r="L1003" t="s">
        <v>18</v>
      </c>
      <c r="M1003" t="str">
        <f>"20070322"</f>
        <v>20070322</v>
      </c>
    </row>
    <row r="1004" spans="1:13" x14ac:dyDescent="0.25">
      <c r="A1004" t="str">
        <f>"00527174"</f>
        <v>00527174</v>
      </c>
      <c r="B1004" t="s">
        <v>2191</v>
      </c>
      <c r="C1004" t="s">
        <v>122</v>
      </c>
      <c r="D1004" t="s">
        <v>51</v>
      </c>
      <c r="E1004" t="s">
        <v>26</v>
      </c>
      <c r="F1004" t="s">
        <v>17</v>
      </c>
      <c r="G1004" t="str">
        <f>"02"</f>
        <v>02</v>
      </c>
      <c r="H1004" t="str">
        <f>"7  "</f>
        <v xml:space="preserve">7  </v>
      </c>
      <c r="I1004" t="str">
        <f>"2015/05/14"</f>
        <v>2015/05/14</v>
      </c>
      <c r="J1004" t="str">
        <f>"510"</f>
        <v>510</v>
      </c>
      <c r="K1004" t="s">
        <v>18</v>
      </c>
      <c r="L1004" t="s">
        <v>18</v>
      </c>
      <c r="M1004" t="str">
        <f>"20130220"</f>
        <v>20130220</v>
      </c>
    </row>
    <row r="1005" spans="1:13" x14ac:dyDescent="0.25">
      <c r="A1005" t="str">
        <f>"00318356"</f>
        <v>00318356</v>
      </c>
      <c r="B1005" t="s">
        <v>2193</v>
      </c>
      <c r="C1005" t="s">
        <v>308</v>
      </c>
      <c r="D1005" t="s">
        <v>15</v>
      </c>
      <c r="E1005" t="s">
        <v>16</v>
      </c>
      <c r="F1005" t="s">
        <v>17</v>
      </c>
      <c r="G1005" t="str">
        <f>"02"</f>
        <v>02</v>
      </c>
      <c r="H1005" t="str">
        <f>"7  "</f>
        <v xml:space="preserve">7  </v>
      </c>
      <c r="I1005" t="str">
        <f>"2001/09/21"</f>
        <v>2001/09/21</v>
      </c>
      <c r="J1005" t="str">
        <f>"503"</f>
        <v>503</v>
      </c>
      <c r="K1005" t="s">
        <v>18</v>
      </c>
      <c r="L1005" t="s">
        <v>18</v>
      </c>
      <c r="M1005" t="str">
        <f>"19950306"</f>
        <v>19950306</v>
      </c>
    </row>
    <row r="1006" spans="1:13" x14ac:dyDescent="0.25">
      <c r="A1006" t="str">
        <f>"00401122"</f>
        <v>00401122</v>
      </c>
      <c r="B1006" t="s">
        <v>2197</v>
      </c>
      <c r="C1006" t="s">
        <v>74</v>
      </c>
      <c r="D1006" t="s">
        <v>45</v>
      </c>
      <c r="E1006" t="s">
        <v>16</v>
      </c>
      <c r="F1006" t="s">
        <v>17</v>
      </c>
      <c r="G1006" t="str">
        <f>"02"</f>
        <v>02</v>
      </c>
      <c r="H1006" t="str">
        <f>"7  "</f>
        <v xml:space="preserve">7  </v>
      </c>
      <c r="I1006" t="str">
        <f>"2005/06/08"</f>
        <v>2005/06/08</v>
      </c>
      <c r="J1006" t="str">
        <f>"110"</f>
        <v>110</v>
      </c>
      <c r="K1006" t="s">
        <v>18</v>
      </c>
      <c r="L1006" t="s">
        <v>18</v>
      </c>
      <c r="M1006" t="str">
        <f>"20031027"</f>
        <v>20031027</v>
      </c>
    </row>
    <row r="1007" spans="1:13" x14ac:dyDescent="0.25">
      <c r="A1007" t="str">
        <f>"00197053"</f>
        <v>00197053</v>
      </c>
      <c r="B1007" t="s">
        <v>2200</v>
      </c>
      <c r="C1007" t="s">
        <v>59</v>
      </c>
      <c r="D1007" t="s">
        <v>31</v>
      </c>
      <c r="E1007" t="s">
        <v>16</v>
      </c>
      <c r="F1007" t="s">
        <v>17</v>
      </c>
      <c r="G1007" t="str">
        <f>"02"</f>
        <v>02</v>
      </c>
      <c r="H1007" t="str">
        <f>"7  "</f>
        <v xml:space="preserve">7  </v>
      </c>
      <c r="I1007" t="str">
        <f>"2012/01/09"</f>
        <v>2012/01/09</v>
      </c>
      <c r="J1007" t="str">
        <f>"503"</f>
        <v>503</v>
      </c>
      <c r="K1007" t="s">
        <v>18</v>
      </c>
      <c r="L1007" t="s">
        <v>18</v>
      </c>
      <c r="M1007" t="str">
        <f>"19860321"</f>
        <v>19860321</v>
      </c>
    </row>
    <row r="1008" spans="1:13" x14ac:dyDescent="0.25">
      <c r="A1008" t="str">
        <f>"00276278"</f>
        <v>00276278</v>
      </c>
      <c r="B1008" t="s">
        <v>2205</v>
      </c>
      <c r="C1008" t="s">
        <v>140</v>
      </c>
      <c r="D1008" t="s">
        <v>97</v>
      </c>
      <c r="E1008" t="s">
        <v>16</v>
      </c>
      <c r="F1008" t="s">
        <v>17</v>
      </c>
      <c r="G1008" t="str">
        <f>"02"</f>
        <v>02</v>
      </c>
      <c r="H1008" t="str">
        <f>"3  "</f>
        <v xml:space="preserve">3  </v>
      </c>
      <c r="I1008" t="str">
        <f>"2015/03/16"</f>
        <v>2015/03/16</v>
      </c>
      <c r="J1008" t="str">
        <f>"110"</f>
        <v>110</v>
      </c>
      <c r="K1008" t="str">
        <f>"20360227"</f>
        <v>20360227</v>
      </c>
      <c r="L1008" t="s">
        <v>18</v>
      </c>
      <c r="M1008" t="str">
        <f>"20141109"</f>
        <v>20141109</v>
      </c>
    </row>
    <row r="1009" spans="1:13" x14ac:dyDescent="0.25">
      <c r="A1009" t="str">
        <f>"00555944"</f>
        <v>00555944</v>
      </c>
      <c r="B1009" t="s">
        <v>2205</v>
      </c>
      <c r="C1009" t="s">
        <v>2206</v>
      </c>
      <c r="D1009" t="s">
        <v>61</v>
      </c>
      <c r="E1009" t="s">
        <v>26</v>
      </c>
      <c r="F1009" t="s">
        <v>17</v>
      </c>
      <c r="G1009" t="str">
        <f>"02"</f>
        <v>02</v>
      </c>
      <c r="H1009" t="str">
        <f>"3  "</f>
        <v xml:space="preserve">3  </v>
      </c>
      <c r="I1009" t="str">
        <f>"2018/07/27"</f>
        <v>2018/07/27</v>
      </c>
      <c r="J1009" t="str">
        <f>"110"</f>
        <v>110</v>
      </c>
      <c r="K1009" t="str">
        <f>"20220623"</f>
        <v>20220623</v>
      </c>
      <c r="L1009" t="s">
        <v>18</v>
      </c>
      <c r="M1009" t="str">
        <f>"20171215"</f>
        <v>20171215</v>
      </c>
    </row>
    <row r="1010" spans="1:13" x14ac:dyDescent="0.25">
      <c r="A1010" t="str">
        <f>"00325152"</f>
        <v>00325152</v>
      </c>
      <c r="B1010" t="s">
        <v>2205</v>
      </c>
      <c r="C1010" t="s">
        <v>2208</v>
      </c>
      <c r="D1010" t="s">
        <v>25</v>
      </c>
      <c r="E1010" t="s">
        <v>26</v>
      </c>
      <c r="F1010" t="s">
        <v>17</v>
      </c>
      <c r="G1010" t="str">
        <f>"02"</f>
        <v>02</v>
      </c>
      <c r="H1010" t="str">
        <f>"3  "</f>
        <v xml:space="preserve">3  </v>
      </c>
      <c r="I1010" t="str">
        <f>"2017/07/28"</f>
        <v>2017/07/28</v>
      </c>
      <c r="J1010" t="str">
        <f>"510"</f>
        <v>510</v>
      </c>
      <c r="K1010" t="str">
        <f>"21240713"</f>
        <v>21240713</v>
      </c>
      <c r="L1010" t="s">
        <v>18</v>
      </c>
      <c r="M1010" t="str">
        <f>"20160604"</f>
        <v>20160604</v>
      </c>
    </row>
    <row r="1011" spans="1:13" x14ac:dyDescent="0.25">
      <c r="A1011" t="str">
        <f>"00480430"</f>
        <v>00480430</v>
      </c>
      <c r="B1011" t="s">
        <v>2205</v>
      </c>
      <c r="C1011" t="s">
        <v>55</v>
      </c>
      <c r="D1011" t="s">
        <v>40</v>
      </c>
      <c r="E1011" t="s">
        <v>26</v>
      </c>
      <c r="F1011" t="s">
        <v>17</v>
      </c>
      <c r="G1011" t="str">
        <f>"02"</f>
        <v>02</v>
      </c>
      <c r="H1011" t="str">
        <f>"3  "</f>
        <v xml:space="preserve">3  </v>
      </c>
      <c r="I1011" t="str">
        <f>"2013/06/12"</f>
        <v>2013/06/12</v>
      </c>
      <c r="J1011" t="str">
        <f>"110"</f>
        <v>110</v>
      </c>
      <c r="K1011" t="str">
        <f>"20211031"</f>
        <v>20211031</v>
      </c>
      <c r="L1011" t="s">
        <v>18</v>
      </c>
      <c r="M1011" t="str">
        <f>"20130103"</f>
        <v>20130103</v>
      </c>
    </row>
    <row r="1012" spans="1:13" x14ac:dyDescent="0.25">
      <c r="A1012" t="str">
        <f>"00430661"</f>
        <v>00430661</v>
      </c>
      <c r="B1012" t="s">
        <v>2205</v>
      </c>
      <c r="C1012" t="s">
        <v>2210</v>
      </c>
      <c r="D1012" t="s">
        <v>51</v>
      </c>
      <c r="E1012" t="s">
        <v>26</v>
      </c>
      <c r="F1012" t="s">
        <v>17</v>
      </c>
      <c r="G1012" t="str">
        <f>"02"</f>
        <v>02</v>
      </c>
      <c r="H1012" t="str">
        <f>"3  "</f>
        <v xml:space="preserve">3  </v>
      </c>
      <c r="I1012" t="str">
        <f>"2004/07/29"</f>
        <v>2004/07/29</v>
      </c>
      <c r="J1012" t="str">
        <f>"510"</f>
        <v>510</v>
      </c>
      <c r="K1012" t="str">
        <f>"20330217"</f>
        <v>20330217</v>
      </c>
      <c r="L1012" t="s">
        <v>18</v>
      </c>
      <c r="M1012" t="str">
        <f>"20010322"</f>
        <v>20010322</v>
      </c>
    </row>
    <row r="1013" spans="1:13" x14ac:dyDescent="0.25">
      <c r="A1013" t="str">
        <f>"00437098"</f>
        <v>00437098</v>
      </c>
      <c r="B1013" t="s">
        <v>2205</v>
      </c>
      <c r="C1013" t="s">
        <v>181</v>
      </c>
      <c r="D1013" t="s">
        <v>25</v>
      </c>
      <c r="E1013" t="s">
        <v>26</v>
      </c>
      <c r="F1013" t="s">
        <v>17</v>
      </c>
      <c r="G1013" t="str">
        <f>"02"</f>
        <v>02</v>
      </c>
      <c r="H1013" t="str">
        <f>"3  "</f>
        <v xml:space="preserve">3  </v>
      </c>
      <c r="I1013" t="str">
        <f>"2016/08/16"</f>
        <v>2016/08/16</v>
      </c>
      <c r="J1013" t="str">
        <f>"510"</f>
        <v>510</v>
      </c>
      <c r="K1013" t="str">
        <f>"20211221"</f>
        <v>20211221</v>
      </c>
      <c r="L1013" t="s">
        <v>18</v>
      </c>
      <c r="M1013" t="str">
        <f>"20140707"</f>
        <v>20140707</v>
      </c>
    </row>
    <row r="1014" spans="1:13" x14ac:dyDescent="0.25">
      <c r="A1014" t="str">
        <f>"00645571"</f>
        <v>00645571</v>
      </c>
      <c r="B1014" t="s">
        <v>2205</v>
      </c>
      <c r="C1014" t="s">
        <v>1200</v>
      </c>
      <c r="D1014" t="s">
        <v>45</v>
      </c>
      <c r="E1014" t="s">
        <v>26</v>
      </c>
      <c r="F1014" t="s">
        <v>17</v>
      </c>
      <c r="G1014" t="str">
        <f>"02"</f>
        <v>02</v>
      </c>
      <c r="H1014" t="str">
        <f>"3  "</f>
        <v xml:space="preserve">3  </v>
      </c>
      <c r="I1014" t="str">
        <f>"2020/08/05"</f>
        <v>2020/08/05</v>
      </c>
      <c r="J1014" t="str">
        <f>"533"</f>
        <v>533</v>
      </c>
      <c r="K1014" t="str">
        <f>"20250621"</f>
        <v>20250621</v>
      </c>
      <c r="L1014" t="s">
        <v>18</v>
      </c>
      <c r="M1014" t="str">
        <f>"20120327"</f>
        <v>20120327</v>
      </c>
    </row>
    <row r="1015" spans="1:13" x14ac:dyDescent="0.25">
      <c r="A1015" t="str">
        <f>"00189254"</f>
        <v>00189254</v>
      </c>
      <c r="B1015" t="s">
        <v>2211</v>
      </c>
      <c r="C1015" t="s">
        <v>122</v>
      </c>
      <c r="D1015" t="s">
        <v>40</v>
      </c>
      <c r="E1015" t="s">
        <v>16</v>
      </c>
      <c r="F1015" t="s">
        <v>17</v>
      </c>
      <c r="G1015" t="str">
        <f>"02"</f>
        <v>02</v>
      </c>
      <c r="H1015" t="str">
        <f>"3  "</f>
        <v xml:space="preserve">3  </v>
      </c>
      <c r="I1015" t="str">
        <f>"2013/09/10"</f>
        <v>2013/09/10</v>
      </c>
      <c r="J1015" t="str">
        <f>"510"</f>
        <v>510</v>
      </c>
      <c r="K1015" t="str">
        <f>"20230310"</f>
        <v>20230310</v>
      </c>
      <c r="L1015" t="s">
        <v>18</v>
      </c>
      <c r="M1015" t="str">
        <f>"20130324"</f>
        <v>20130324</v>
      </c>
    </row>
    <row r="1016" spans="1:13" x14ac:dyDescent="0.25">
      <c r="A1016" t="str">
        <f>"00401566"</f>
        <v>00401566</v>
      </c>
      <c r="B1016" t="s">
        <v>2212</v>
      </c>
      <c r="C1016" t="s">
        <v>414</v>
      </c>
      <c r="D1016" t="s">
        <v>51</v>
      </c>
      <c r="E1016" t="s">
        <v>16</v>
      </c>
      <c r="F1016" t="s">
        <v>17</v>
      </c>
      <c r="G1016" t="str">
        <f>"02"</f>
        <v>02</v>
      </c>
      <c r="H1016" t="str">
        <f>"3  "</f>
        <v xml:space="preserve">3  </v>
      </c>
      <c r="I1016" t="str">
        <f>"2008/10/03"</f>
        <v>2008/10/03</v>
      </c>
      <c r="J1016" t="str">
        <f>"503"</f>
        <v>503</v>
      </c>
      <c r="K1016" t="str">
        <f>"20201028"</f>
        <v>20201028</v>
      </c>
      <c r="L1016" t="s">
        <v>18</v>
      </c>
      <c r="M1016" t="str">
        <f>"20071109"</f>
        <v>20071109</v>
      </c>
    </row>
    <row r="1017" spans="1:13" x14ac:dyDescent="0.25">
      <c r="A1017" t="str">
        <f>"00291259"</f>
        <v>00291259</v>
      </c>
      <c r="B1017" t="s">
        <v>2214</v>
      </c>
      <c r="C1017" t="s">
        <v>320</v>
      </c>
      <c r="D1017" t="s">
        <v>15</v>
      </c>
      <c r="E1017" t="s">
        <v>16</v>
      </c>
      <c r="F1017" t="s">
        <v>17</v>
      </c>
      <c r="G1017" t="str">
        <f>"02"</f>
        <v>02</v>
      </c>
      <c r="H1017" t="str">
        <f>"3  "</f>
        <v xml:space="preserve">3  </v>
      </c>
      <c r="I1017" t="str">
        <f>"1998/02/18"</f>
        <v>1998/02/18</v>
      </c>
      <c r="J1017" t="str">
        <f>"510"</f>
        <v>510</v>
      </c>
      <c r="K1017" t="str">
        <f>"20381030"</f>
        <v>20381030</v>
      </c>
      <c r="L1017" t="s">
        <v>18</v>
      </c>
      <c r="M1017" t="str">
        <f>"19970123"</f>
        <v>19970123</v>
      </c>
    </row>
    <row r="1018" spans="1:13" x14ac:dyDescent="0.25">
      <c r="A1018" t="str">
        <f>"00121044"</f>
        <v>00121044</v>
      </c>
      <c r="B1018" t="s">
        <v>2222</v>
      </c>
      <c r="C1018" t="s">
        <v>169</v>
      </c>
      <c r="D1018" t="s">
        <v>91</v>
      </c>
      <c r="E1018" t="s">
        <v>16</v>
      </c>
      <c r="F1018" t="s">
        <v>17</v>
      </c>
      <c r="G1018" t="str">
        <f>"02"</f>
        <v>02</v>
      </c>
      <c r="H1018" t="str">
        <f>"3  "</f>
        <v xml:space="preserve">3  </v>
      </c>
      <c r="I1018" t="str">
        <f>"2014/12/11"</f>
        <v>2014/12/11</v>
      </c>
      <c r="J1018" t="str">
        <f>"110"</f>
        <v>110</v>
      </c>
      <c r="K1018" t="str">
        <f>"20240313"</f>
        <v>20240313</v>
      </c>
      <c r="L1018" t="str">
        <f>"20170926"</f>
        <v>20170926</v>
      </c>
      <c r="M1018" t="str">
        <f>"20140707"</f>
        <v>20140707</v>
      </c>
    </row>
    <row r="1019" spans="1:13" x14ac:dyDescent="0.25">
      <c r="A1019" t="str">
        <f>"00783037"</f>
        <v>00783037</v>
      </c>
      <c r="B1019" t="s">
        <v>2227</v>
      </c>
      <c r="C1019" t="s">
        <v>2228</v>
      </c>
      <c r="D1019" t="s">
        <v>31</v>
      </c>
      <c r="E1019" t="s">
        <v>26</v>
      </c>
      <c r="F1019" t="s">
        <v>17</v>
      </c>
      <c r="G1019" t="str">
        <f>"02"</f>
        <v>02</v>
      </c>
      <c r="H1019" t="str">
        <f>"3  "</f>
        <v xml:space="preserve">3  </v>
      </c>
      <c r="I1019" t="str">
        <f>"2016/12/01"</f>
        <v>2016/12/01</v>
      </c>
      <c r="J1019" t="str">
        <f>"110"</f>
        <v>110</v>
      </c>
      <c r="K1019" t="str">
        <f>"20210806"</f>
        <v>20210806</v>
      </c>
      <c r="L1019" t="s">
        <v>18</v>
      </c>
      <c r="M1019" t="str">
        <f>"20160304"</f>
        <v>20160304</v>
      </c>
    </row>
    <row r="1020" spans="1:13" x14ac:dyDescent="0.25">
      <c r="A1020" t="str">
        <f>"00228225"</f>
        <v>00228225</v>
      </c>
      <c r="B1020" t="s">
        <v>2230</v>
      </c>
      <c r="C1020" t="s">
        <v>677</v>
      </c>
      <c r="D1020" t="s">
        <v>51</v>
      </c>
      <c r="E1020" t="s">
        <v>26</v>
      </c>
      <c r="F1020" t="s">
        <v>17</v>
      </c>
      <c r="G1020" t="str">
        <f>"02"</f>
        <v>02</v>
      </c>
      <c r="H1020" t="str">
        <f>"4  "</f>
        <v xml:space="preserve">4  </v>
      </c>
      <c r="I1020" t="str">
        <f>"1994/12/02"</f>
        <v>1994/12/02</v>
      </c>
      <c r="J1020" t="str">
        <f>"503"</f>
        <v>503</v>
      </c>
      <c r="K1020" t="str">
        <f>"20230610"</f>
        <v>20230610</v>
      </c>
      <c r="L1020" t="s">
        <v>18</v>
      </c>
      <c r="M1020" t="str">
        <f>"19931126"</f>
        <v>19931126</v>
      </c>
    </row>
    <row r="1021" spans="1:13" x14ac:dyDescent="0.25">
      <c r="A1021" t="str">
        <f>"00484632"</f>
        <v>00484632</v>
      </c>
      <c r="B1021" t="s">
        <v>2231</v>
      </c>
      <c r="C1021" t="s">
        <v>661</v>
      </c>
      <c r="D1021" t="s">
        <v>31</v>
      </c>
      <c r="E1021" t="s">
        <v>26</v>
      </c>
      <c r="F1021" t="s">
        <v>17</v>
      </c>
      <c r="G1021" t="str">
        <f>"02"</f>
        <v>02</v>
      </c>
      <c r="H1021" t="str">
        <f>"3  "</f>
        <v xml:space="preserve">3  </v>
      </c>
      <c r="I1021" t="str">
        <f>"2019/05/10"</f>
        <v>2019/05/10</v>
      </c>
      <c r="J1021" t="str">
        <f>"510"</f>
        <v>510</v>
      </c>
      <c r="K1021" t="str">
        <f>"20201128"</f>
        <v>20201128</v>
      </c>
      <c r="L1021" t="s">
        <v>18</v>
      </c>
      <c r="M1021" t="str">
        <f>"20190311"</f>
        <v>20190311</v>
      </c>
    </row>
    <row r="1022" spans="1:13" x14ac:dyDescent="0.25">
      <c r="A1022" t="str">
        <f>"00265227"</f>
        <v>00265227</v>
      </c>
      <c r="B1022" t="s">
        <v>2238</v>
      </c>
      <c r="C1022" t="s">
        <v>397</v>
      </c>
      <c r="D1022" t="s">
        <v>15</v>
      </c>
      <c r="E1022" t="s">
        <v>16</v>
      </c>
      <c r="F1022" t="s">
        <v>17</v>
      </c>
      <c r="G1022" t="str">
        <f>"02"</f>
        <v>02</v>
      </c>
      <c r="H1022" t="str">
        <f>"3  "</f>
        <v xml:space="preserve">3  </v>
      </c>
      <c r="I1022" t="str">
        <f>"2014/12/22"</f>
        <v>2014/12/22</v>
      </c>
      <c r="J1022" t="str">
        <f>"110"</f>
        <v>110</v>
      </c>
      <c r="K1022" t="str">
        <f>"20211106"</f>
        <v>20211106</v>
      </c>
      <c r="L1022" t="s">
        <v>18</v>
      </c>
      <c r="M1022" t="str">
        <f>"20140902"</f>
        <v>20140902</v>
      </c>
    </row>
    <row r="1023" spans="1:13" x14ac:dyDescent="0.25">
      <c r="A1023" t="str">
        <f>"00428505"</f>
        <v>00428505</v>
      </c>
      <c r="B1023" t="s">
        <v>2239</v>
      </c>
      <c r="C1023" t="s">
        <v>72</v>
      </c>
      <c r="D1023" t="s">
        <v>40</v>
      </c>
      <c r="E1023" t="s">
        <v>16</v>
      </c>
      <c r="F1023" t="s">
        <v>17</v>
      </c>
      <c r="G1023" t="str">
        <f>"02"</f>
        <v>02</v>
      </c>
      <c r="H1023" t="str">
        <f>"3  "</f>
        <v xml:space="preserve">3  </v>
      </c>
      <c r="I1023" t="str">
        <f>"2017/05/26"</f>
        <v>2017/05/26</v>
      </c>
      <c r="J1023" t="str">
        <f>"110"</f>
        <v>110</v>
      </c>
      <c r="K1023" t="str">
        <f>"20271019"</f>
        <v>20271019</v>
      </c>
      <c r="L1023" t="s">
        <v>18</v>
      </c>
      <c r="M1023" t="str">
        <f>"20170501"</f>
        <v>20170501</v>
      </c>
    </row>
    <row r="1024" spans="1:13" x14ac:dyDescent="0.25">
      <c r="A1024" t="str">
        <f>"00178856"</f>
        <v>00178856</v>
      </c>
      <c r="B1024" t="s">
        <v>2240</v>
      </c>
      <c r="C1024" t="s">
        <v>125</v>
      </c>
      <c r="D1024" t="s">
        <v>16</v>
      </c>
      <c r="E1024" t="s">
        <v>16</v>
      </c>
      <c r="F1024" t="s">
        <v>17</v>
      </c>
      <c r="G1024" t="str">
        <f>"02"</f>
        <v>02</v>
      </c>
      <c r="H1024" t="str">
        <f>"3  "</f>
        <v xml:space="preserve">3  </v>
      </c>
      <c r="I1024" t="str">
        <f>"2002/05/30"</f>
        <v>2002/05/30</v>
      </c>
      <c r="J1024" t="str">
        <f>"502"</f>
        <v>502</v>
      </c>
      <c r="K1024" t="str">
        <f>"20350305"</f>
        <v>20350305</v>
      </c>
      <c r="L1024" t="s">
        <v>18</v>
      </c>
      <c r="M1024" t="str">
        <f>"20010116"</f>
        <v>20010116</v>
      </c>
    </row>
    <row r="1025" spans="1:13" x14ac:dyDescent="0.25">
      <c r="A1025" t="str">
        <f>"00544282"</f>
        <v>00544282</v>
      </c>
      <c r="B1025" t="s">
        <v>2242</v>
      </c>
      <c r="C1025" t="s">
        <v>2243</v>
      </c>
      <c r="D1025" t="s">
        <v>15</v>
      </c>
      <c r="E1025" t="s">
        <v>16</v>
      </c>
      <c r="F1025" t="s">
        <v>17</v>
      </c>
      <c r="G1025" t="str">
        <f>"02"</f>
        <v>02</v>
      </c>
      <c r="H1025" t="str">
        <f>"3  "</f>
        <v xml:space="preserve">3  </v>
      </c>
      <c r="I1025" t="str">
        <f>"2019/06/21"</f>
        <v>2019/06/21</v>
      </c>
      <c r="J1025" t="str">
        <f>"510"</f>
        <v>510</v>
      </c>
      <c r="K1025" t="str">
        <f>"20250208"</f>
        <v>20250208</v>
      </c>
      <c r="L1025" t="s">
        <v>18</v>
      </c>
      <c r="M1025" t="str">
        <f>"20171123"</f>
        <v>20171123</v>
      </c>
    </row>
    <row r="1026" spans="1:13" x14ac:dyDescent="0.25">
      <c r="A1026" t="str">
        <f>"00436006"</f>
        <v>00436006</v>
      </c>
      <c r="B1026" t="s">
        <v>2245</v>
      </c>
      <c r="C1026" t="s">
        <v>329</v>
      </c>
      <c r="D1026" t="s">
        <v>31</v>
      </c>
      <c r="E1026" t="s">
        <v>16</v>
      </c>
      <c r="F1026" t="s">
        <v>17</v>
      </c>
      <c r="G1026" t="str">
        <f>"02"</f>
        <v>02</v>
      </c>
      <c r="H1026" t="str">
        <f>"3  "</f>
        <v xml:space="preserve">3  </v>
      </c>
      <c r="I1026" t="str">
        <f>"2017/12/13"</f>
        <v>2017/12/13</v>
      </c>
      <c r="J1026" t="str">
        <f>"110"</f>
        <v>110</v>
      </c>
      <c r="K1026" t="str">
        <f>"20310625"</f>
        <v>20310625</v>
      </c>
      <c r="L1026" t="s">
        <v>18</v>
      </c>
      <c r="M1026" t="str">
        <f>"20171213"</f>
        <v>20171213</v>
      </c>
    </row>
    <row r="1027" spans="1:13" x14ac:dyDescent="0.25">
      <c r="A1027" t="str">
        <f>"00552189"</f>
        <v>00552189</v>
      </c>
      <c r="B1027" t="s">
        <v>2253</v>
      </c>
      <c r="C1027" t="s">
        <v>2254</v>
      </c>
      <c r="D1027" t="s">
        <v>25</v>
      </c>
      <c r="E1027" t="s">
        <v>26</v>
      </c>
      <c r="F1027" t="s">
        <v>17</v>
      </c>
      <c r="G1027" t="str">
        <f>"02"</f>
        <v>02</v>
      </c>
      <c r="H1027" t="str">
        <f>"7  "</f>
        <v xml:space="preserve">7  </v>
      </c>
      <c r="I1027" t="str">
        <f>"2013/03/11"</f>
        <v>2013/03/11</v>
      </c>
      <c r="J1027" t="str">
        <f>"510"</f>
        <v>510</v>
      </c>
      <c r="K1027" t="s">
        <v>18</v>
      </c>
      <c r="L1027" t="s">
        <v>18</v>
      </c>
      <c r="M1027" t="str">
        <f>"20111228"</f>
        <v>20111228</v>
      </c>
    </row>
    <row r="1028" spans="1:13" x14ac:dyDescent="0.25">
      <c r="A1028" t="str">
        <f>"00605942"</f>
        <v>00605942</v>
      </c>
      <c r="B1028" t="s">
        <v>2255</v>
      </c>
      <c r="C1028" t="s">
        <v>150</v>
      </c>
      <c r="D1028" t="s">
        <v>97</v>
      </c>
      <c r="E1028" t="s">
        <v>26</v>
      </c>
      <c r="F1028" t="s">
        <v>17</v>
      </c>
      <c r="G1028" t="str">
        <f>"02"</f>
        <v>02</v>
      </c>
      <c r="H1028" t="str">
        <f>"7  "</f>
        <v xml:space="preserve">7  </v>
      </c>
      <c r="I1028" t="str">
        <f>"2014/09/05"</f>
        <v>2014/09/05</v>
      </c>
      <c r="J1028" t="str">
        <f>"531"</f>
        <v>531</v>
      </c>
      <c r="K1028" t="s">
        <v>18</v>
      </c>
      <c r="L1028" t="s">
        <v>18</v>
      </c>
      <c r="M1028" t="str">
        <f>"20111228"</f>
        <v>20111228</v>
      </c>
    </row>
    <row r="1029" spans="1:13" x14ac:dyDescent="0.25">
      <c r="A1029" t="str">
        <f>"00586186"</f>
        <v>00586186</v>
      </c>
      <c r="B1029" t="s">
        <v>2259</v>
      </c>
      <c r="C1029" t="s">
        <v>48</v>
      </c>
      <c r="D1029" t="s">
        <v>51</v>
      </c>
      <c r="E1029" t="s">
        <v>16</v>
      </c>
      <c r="F1029" t="s">
        <v>17</v>
      </c>
      <c r="G1029" t="str">
        <f>"02"</f>
        <v>02</v>
      </c>
      <c r="H1029" t="str">
        <f>"3  "</f>
        <v xml:space="preserve">3  </v>
      </c>
      <c r="I1029" t="str">
        <f>"2012/07/17"</f>
        <v>2012/07/17</v>
      </c>
      <c r="J1029" t="str">
        <f>"110"</f>
        <v>110</v>
      </c>
      <c r="K1029" t="str">
        <f>"20280810"</f>
        <v>20280810</v>
      </c>
      <c r="L1029" t="s">
        <v>18</v>
      </c>
      <c r="M1029" t="str">
        <f>"20111023"</f>
        <v>20111023</v>
      </c>
    </row>
    <row r="1030" spans="1:13" x14ac:dyDescent="0.25">
      <c r="A1030" t="str">
        <f>"00614966"</f>
        <v>00614966</v>
      </c>
      <c r="B1030" t="s">
        <v>2261</v>
      </c>
      <c r="C1030" t="s">
        <v>402</v>
      </c>
      <c r="D1030" t="s">
        <v>31</v>
      </c>
      <c r="E1030" t="s">
        <v>26</v>
      </c>
      <c r="F1030" t="s">
        <v>17</v>
      </c>
      <c r="G1030" t="str">
        <f>"02"</f>
        <v>02</v>
      </c>
      <c r="H1030" t="str">
        <f>"7  "</f>
        <v xml:space="preserve">7  </v>
      </c>
      <c r="I1030" t="str">
        <f>"2009/11/24"</f>
        <v>2009/11/24</v>
      </c>
      <c r="J1030" t="str">
        <f>"510"</f>
        <v>510</v>
      </c>
      <c r="K1030" t="s">
        <v>18</v>
      </c>
      <c r="L1030" t="s">
        <v>18</v>
      </c>
      <c r="M1030" t="str">
        <f>"20090419"</f>
        <v>20090419</v>
      </c>
    </row>
    <row r="1031" spans="1:13" x14ac:dyDescent="0.25">
      <c r="A1031" t="str">
        <f>"00349010"</f>
        <v>00349010</v>
      </c>
      <c r="B1031" t="s">
        <v>2262</v>
      </c>
      <c r="C1031" t="s">
        <v>74</v>
      </c>
      <c r="D1031" t="s">
        <v>45</v>
      </c>
      <c r="E1031" t="s">
        <v>26</v>
      </c>
      <c r="F1031" t="s">
        <v>17</v>
      </c>
      <c r="G1031" t="str">
        <f>"02"</f>
        <v>02</v>
      </c>
      <c r="H1031" t="str">
        <f>"3  "</f>
        <v xml:space="preserve">3  </v>
      </c>
      <c r="I1031" t="str">
        <f>"2016/01/28"</f>
        <v>2016/01/28</v>
      </c>
      <c r="J1031" t="str">
        <f>"110"</f>
        <v>110</v>
      </c>
      <c r="K1031" t="str">
        <f>"20281209"</f>
        <v>20281209</v>
      </c>
      <c r="L1031" t="s">
        <v>18</v>
      </c>
      <c r="M1031" t="str">
        <f>"20141125"</f>
        <v>20141125</v>
      </c>
    </row>
    <row r="1032" spans="1:13" x14ac:dyDescent="0.25">
      <c r="A1032" t="str">
        <f>"00110196"</f>
        <v>00110196</v>
      </c>
      <c r="B1032" t="s">
        <v>2264</v>
      </c>
      <c r="C1032" t="s">
        <v>2265</v>
      </c>
      <c r="D1032" t="s">
        <v>25</v>
      </c>
      <c r="E1032" t="s">
        <v>26</v>
      </c>
      <c r="F1032" t="s">
        <v>17</v>
      </c>
      <c r="G1032" t="str">
        <f>"02"</f>
        <v>02</v>
      </c>
      <c r="H1032" t="str">
        <f>"7  "</f>
        <v xml:space="preserve">7  </v>
      </c>
      <c r="I1032" t="str">
        <f>"2001/01/17"</f>
        <v>2001/01/17</v>
      </c>
      <c r="J1032" t="str">
        <f>"533"</f>
        <v>533</v>
      </c>
      <c r="K1032" t="s">
        <v>18</v>
      </c>
      <c r="L1032" t="s">
        <v>18</v>
      </c>
      <c r="M1032" t="str">
        <f>"19800410"</f>
        <v>19800410</v>
      </c>
    </row>
    <row r="1033" spans="1:13" x14ac:dyDescent="0.25">
      <c r="A1033" t="str">
        <f>"00136557"</f>
        <v>00136557</v>
      </c>
      <c r="B1033" t="s">
        <v>2267</v>
      </c>
      <c r="C1033" t="s">
        <v>233</v>
      </c>
      <c r="D1033" t="s">
        <v>37</v>
      </c>
      <c r="E1033" t="s">
        <v>26</v>
      </c>
      <c r="F1033" t="s">
        <v>17</v>
      </c>
      <c r="G1033" t="str">
        <f>"02"</f>
        <v>02</v>
      </c>
      <c r="H1033" t="str">
        <f>"3  "</f>
        <v xml:space="preserve">3  </v>
      </c>
      <c r="I1033" t="str">
        <f>"2018/08/27"</f>
        <v>2018/08/27</v>
      </c>
      <c r="J1033" t="str">
        <f>"503"</f>
        <v>503</v>
      </c>
      <c r="K1033" t="str">
        <f>"20600728"</f>
        <v>20600728</v>
      </c>
      <c r="L1033" t="s">
        <v>18</v>
      </c>
      <c r="M1033" t="str">
        <f>"20140808"</f>
        <v>20140808</v>
      </c>
    </row>
    <row r="1034" spans="1:13" x14ac:dyDescent="0.25">
      <c r="A1034" t="str">
        <f>"00752005"</f>
        <v>00752005</v>
      </c>
      <c r="B1034" t="s">
        <v>2271</v>
      </c>
      <c r="C1034" t="s">
        <v>1159</v>
      </c>
      <c r="D1034" t="s">
        <v>25</v>
      </c>
      <c r="E1034" t="s">
        <v>16</v>
      </c>
      <c r="F1034" t="s">
        <v>17</v>
      </c>
      <c r="G1034" t="str">
        <f>"02"</f>
        <v>02</v>
      </c>
      <c r="H1034" t="str">
        <f>"3  "</f>
        <v xml:space="preserve">3  </v>
      </c>
      <c r="I1034" t="str">
        <f>"2014/11/06"</f>
        <v>2014/11/06</v>
      </c>
      <c r="J1034" t="str">
        <f>"510"</f>
        <v>510</v>
      </c>
      <c r="K1034" t="str">
        <f>"20310911"</f>
        <v>20310911</v>
      </c>
      <c r="L1034" t="s">
        <v>18</v>
      </c>
      <c r="M1034" t="str">
        <f>"20130910"</f>
        <v>20130910</v>
      </c>
    </row>
    <row r="1035" spans="1:13" x14ac:dyDescent="0.25">
      <c r="A1035" t="str">
        <f>"00880816"</f>
        <v>00880816</v>
      </c>
      <c r="B1035" t="s">
        <v>2277</v>
      </c>
      <c r="C1035" t="s">
        <v>2278</v>
      </c>
      <c r="D1035" t="s">
        <v>21</v>
      </c>
      <c r="E1035" t="s">
        <v>26</v>
      </c>
      <c r="F1035" t="s">
        <v>17</v>
      </c>
      <c r="G1035" t="str">
        <f>"02"</f>
        <v>02</v>
      </c>
      <c r="H1035" t="str">
        <f>"3  "</f>
        <v xml:space="preserve">3  </v>
      </c>
      <c r="I1035" t="str">
        <f>"2019/08/09"</f>
        <v>2019/08/09</v>
      </c>
      <c r="J1035" t="str">
        <f>"510"</f>
        <v>510</v>
      </c>
      <c r="K1035" t="str">
        <f>"20381113"</f>
        <v>20381113</v>
      </c>
      <c r="L1035" t="s">
        <v>18</v>
      </c>
      <c r="M1035" t="str">
        <f>"20180214"</f>
        <v>20180214</v>
      </c>
    </row>
    <row r="1036" spans="1:13" x14ac:dyDescent="0.25">
      <c r="A1036" t="str">
        <f>"00798667"</f>
        <v>00798667</v>
      </c>
      <c r="B1036" t="s">
        <v>2280</v>
      </c>
      <c r="C1036" t="s">
        <v>447</v>
      </c>
      <c r="D1036" t="s">
        <v>25</v>
      </c>
      <c r="E1036" t="s">
        <v>26</v>
      </c>
      <c r="F1036" t="s">
        <v>17</v>
      </c>
      <c r="G1036" t="str">
        <f>"02"</f>
        <v>02</v>
      </c>
      <c r="H1036" t="str">
        <f>"3  "</f>
        <v xml:space="preserve">3  </v>
      </c>
      <c r="I1036" t="str">
        <f>"2019/04/12"</f>
        <v>2019/04/12</v>
      </c>
      <c r="J1036" t="str">
        <f>"510"</f>
        <v>510</v>
      </c>
      <c r="K1036" t="str">
        <f>"20201222"</f>
        <v>20201222</v>
      </c>
      <c r="L1036" t="s">
        <v>18</v>
      </c>
      <c r="M1036" t="str">
        <f>"20180329"</f>
        <v>20180329</v>
      </c>
    </row>
    <row r="1037" spans="1:13" x14ac:dyDescent="0.25">
      <c r="A1037" t="str">
        <f>"00480657"</f>
        <v>00480657</v>
      </c>
      <c r="B1037" t="s">
        <v>2281</v>
      </c>
      <c r="C1037" t="s">
        <v>99</v>
      </c>
      <c r="D1037" t="s">
        <v>21</v>
      </c>
      <c r="E1037" t="s">
        <v>26</v>
      </c>
      <c r="F1037" t="s">
        <v>17</v>
      </c>
      <c r="G1037" t="str">
        <f>"02"</f>
        <v>02</v>
      </c>
      <c r="H1037" t="str">
        <f>"3  "</f>
        <v xml:space="preserve">3  </v>
      </c>
      <c r="I1037" t="str">
        <f>"2015/05/20"</f>
        <v>2015/05/20</v>
      </c>
      <c r="J1037" t="str">
        <f>"510"</f>
        <v>510</v>
      </c>
      <c r="K1037" t="str">
        <f>"20370919"</f>
        <v>20370919</v>
      </c>
      <c r="L1037" t="s">
        <v>18</v>
      </c>
      <c r="M1037" t="str">
        <f>"20130718"</f>
        <v>20130718</v>
      </c>
    </row>
    <row r="1038" spans="1:13" x14ac:dyDescent="0.25">
      <c r="A1038" t="str">
        <f>"00424538"</f>
        <v>00424538</v>
      </c>
      <c r="B1038" t="s">
        <v>2282</v>
      </c>
      <c r="C1038" t="s">
        <v>2283</v>
      </c>
      <c r="D1038" t="s">
        <v>25</v>
      </c>
      <c r="E1038" t="s">
        <v>26</v>
      </c>
      <c r="F1038" t="s">
        <v>17</v>
      </c>
      <c r="G1038" t="str">
        <f>"02"</f>
        <v>02</v>
      </c>
      <c r="H1038" t="str">
        <f>"3  "</f>
        <v xml:space="preserve">3  </v>
      </c>
      <c r="I1038" t="str">
        <f>"2007/04/26"</f>
        <v>2007/04/26</v>
      </c>
      <c r="J1038" t="str">
        <f>"510"</f>
        <v>510</v>
      </c>
      <c r="K1038" t="str">
        <f>"20600527"</f>
        <v>20600527</v>
      </c>
      <c r="L1038" t="s">
        <v>18</v>
      </c>
      <c r="M1038" t="str">
        <f>"20041213"</f>
        <v>20041213</v>
      </c>
    </row>
    <row r="1039" spans="1:13" x14ac:dyDescent="0.25">
      <c r="A1039" t="str">
        <f>"00168085"</f>
        <v>00168085</v>
      </c>
      <c r="B1039" t="s">
        <v>2284</v>
      </c>
      <c r="C1039" t="s">
        <v>96</v>
      </c>
      <c r="D1039" t="s">
        <v>15</v>
      </c>
      <c r="E1039" t="s">
        <v>26</v>
      </c>
      <c r="F1039" t="s">
        <v>17</v>
      </c>
      <c r="G1039" t="str">
        <f>"02"</f>
        <v>02</v>
      </c>
      <c r="H1039" t="str">
        <f>"7  "</f>
        <v xml:space="preserve">7  </v>
      </c>
      <c r="I1039" t="str">
        <f>"2015/01/21"</f>
        <v>2015/01/21</v>
      </c>
      <c r="J1039" t="str">
        <f>"510"</f>
        <v>510</v>
      </c>
      <c r="K1039" t="s">
        <v>18</v>
      </c>
      <c r="L1039" t="s">
        <v>18</v>
      </c>
      <c r="M1039" t="str">
        <f>"20140813"</f>
        <v>20140813</v>
      </c>
    </row>
    <row r="1040" spans="1:13" x14ac:dyDescent="0.25">
      <c r="A1040" t="str">
        <f>"00151970"</f>
        <v>00151970</v>
      </c>
      <c r="B1040" t="s">
        <v>2287</v>
      </c>
      <c r="C1040" t="s">
        <v>320</v>
      </c>
      <c r="D1040" t="s">
        <v>15</v>
      </c>
      <c r="E1040" t="s">
        <v>26</v>
      </c>
      <c r="F1040" t="s">
        <v>17</v>
      </c>
      <c r="G1040" t="str">
        <f>"02"</f>
        <v>02</v>
      </c>
      <c r="H1040" t="str">
        <f>"0  "</f>
        <v xml:space="preserve">0  </v>
      </c>
      <c r="I1040" t="str">
        <f>"2019/12/18"</f>
        <v>2019/12/18</v>
      </c>
      <c r="J1040" t="str">
        <f>"503"</f>
        <v>503</v>
      </c>
      <c r="K1040" t="s">
        <v>18</v>
      </c>
      <c r="L1040" t="s">
        <v>18</v>
      </c>
      <c r="M1040" t="s">
        <v>18</v>
      </c>
    </row>
    <row r="1041" spans="1:13" x14ac:dyDescent="0.25">
      <c r="A1041" t="str">
        <f>"00606790"</f>
        <v>00606790</v>
      </c>
      <c r="B1041" t="s">
        <v>2288</v>
      </c>
      <c r="C1041" t="s">
        <v>437</v>
      </c>
      <c r="D1041" t="s">
        <v>61</v>
      </c>
      <c r="E1041" t="s">
        <v>26</v>
      </c>
      <c r="F1041" t="s">
        <v>17</v>
      </c>
      <c r="G1041" t="str">
        <f>"02"</f>
        <v>02</v>
      </c>
      <c r="H1041" t="str">
        <f>"3  "</f>
        <v xml:space="preserve">3  </v>
      </c>
      <c r="I1041" t="str">
        <f>"2016/12/01"</f>
        <v>2016/12/01</v>
      </c>
      <c r="J1041" t="str">
        <f>"510"</f>
        <v>510</v>
      </c>
      <c r="K1041" t="str">
        <f>"20280808"</f>
        <v>20280808</v>
      </c>
      <c r="L1041" t="s">
        <v>18</v>
      </c>
      <c r="M1041" t="str">
        <f>"20150727"</f>
        <v>20150727</v>
      </c>
    </row>
    <row r="1042" spans="1:13" x14ac:dyDescent="0.25">
      <c r="A1042" t="str">
        <f>"00216724"</f>
        <v>00216724</v>
      </c>
      <c r="B1042" t="s">
        <v>2288</v>
      </c>
      <c r="C1042" t="s">
        <v>446</v>
      </c>
      <c r="D1042" t="s">
        <v>45</v>
      </c>
      <c r="E1042" t="s">
        <v>26</v>
      </c>
      <c r="F1042" t="s">
        <v>17</v>
      </c>
      <c r="G1042" t="str">
        <f>"02"</f>
        <v>02</v>
      </c>
      <c r="H1042" t="str">
        <f>"3  "</f>
        <v xml:space="preserve">3  </v>
      </c>
      <c r="I1042" t="str">
        <f>"2017/08/29"</f>
        <v>2017/08/29</v>
      </c>
      <c r="J1042" t="str">
        <f>"110"</f>
        <v>110</v>
      </c>
      <c r="K1042" t="str">
        <f>"20210406"</f>
        <v>20210406</v>
      </c>
      <c r="L1042" t="s">
        <v>18</v>
      </c>
      <c r="M1042" t="str">
        <f>"20161106"</f>
        <v>20161106</v>
      </c>
    </row>
    <row r="1043" spans="1:13" x14ac:dyDescent="0.25">
      <c r="A1043" t="str">
        <f>"00238098"</f>
        <v>00238098</v>
      </c>
      <c r="B1043" t="s">
        <v>2288</v>
      </c>
      <c r="C1043" t="s">
        <v>2289</v>
      </c>
      <c r="D1043" t="s">
        <v>53</v>
      </c>
      <c r="E1043" t="s">
        <v>26</v>
      </c>
      <c r="F1043" t="s">
        <v>17</v>
      </c>
      <c r="G1043" t="str">
        <f>"02"</f>
        <v>02</v>
      </c>
      <c r="H1043" t="str">
        <f>"7  "</f>
        <v xml:space="preserve">7  </v>
      </c>
      <c r="I1043" t="str">
        <f>"1989/09/29"</f>
        <v>1989/09/29</v>
      </c>
      <c r="J1043" t="str">
        <f>"510"</f>
        <v>510</v>
      </c>
      <c r="K1043" t="s">
        <v>18</v>
      </c>
      <c r="L1043" t="str">
        <f>"20480506"</f>
        <v>20480506</v>
      </c>
      <c r="M1043" t="str">
        <f>"19890122"</f>
        <v>19890122</v>
      </c>
    </row>
    <row r="1044" spans="1:13" x14ac:dyDescent="0.25">
      <c r="A1044" t="str">
        <f>"00523827"</f>
        <v>00523827</v>
      </c>
      <c r="B1044" t="s">
        <v>2291</v>
      </c>
      <c r="C1044" t="s">
        <v>213</v>
      </c>
      <c r="D1044" t="s">
        <v>25</v>
      </c>
      <c r="E1044" t="s">
        <v>26</v>
      </c>
      <c r="F1044" t="s">
        <v>17</v>
      </c>
      <c r="G1044" t="str">
        <f>"02"</f>
        <v>02</v>
      </c>
      <c r="H1044" t="str">
        <f>"3  "</f>
        <v xml:space="preserve">3  </v>
      </c>
      <c r="I1044" t="str">
        <f>"2019/08/23"</f>
        <v>2019/08/23</v>
      </c>
      <c r="J1044" t="str">
        <f>"503"</f>
        <v>503</v>
      </c>
      <c r="K1044" t="str">
        <f>"20220420"</f>
        <v>20220420</v>
      </c>
      <c r="L1044" t="s">
        <v>18</v>
      </c>
      <c r="M1044" t="str">
        <f>"20181006"</f>
        <v>20181006</v>
      </c>
    </row>
    <row r="1045" spans="1:13" x14ac:dyDescent="0.25">
      <c r="A1045" t="str">
        <f>"00247902"</f>
        <v>00247902</v>
      </c>
      <c r="B1045" t="s">
        <v>2293</v>
      </c>
      <c r="C1045" t="s">
        <v>442</v>
      </c>
      <c r="D1045" t="s">
        <v>51</v>
      </c>
      <c r="E1045" t="s">
        <v>16</v>
      </c>
      <c r="F1045" t="s">
        <v>17</v>
      </c>
      <c r="G1045" t="str">
        <f>"02"</f>
        <v>02</v>
      </c>
      <c r="H1045" t="str">
        <f>"3  "</f>
        <v xml:space="preserve">3  </v>
      </c>
      <c r="I1045" t="str">
        <f>"2003/01/31"</f>
        <v>2003/01/31</v>
      </c>
      <c r="J1045" t="str">
        <f>"110"</f>
        <v>110</v>
      </c>
      <c r="K1045" t="str">
        <f>"20650514"</f>
        <v>20650514</v>
      </c>
      <c r="L1045" t="s">
        <v>18</v>
      </c>
      <c r="M1045" t="str">
        <f>"20020516"</f>
        <v>20020516</v>
      </c>
    </row>
    <row r="1046" spans="1:13" x14ac:dyDescent="0.25">
      <c r="A1046" t="str">
        <f>"00460956"</f>
        <v>00460956</v>
      </c>
      <c r="B1046" t="s">
        <v>2299</v>
      </c>
      <c r="C1046" t="s">
        <v>2300</v>
      </c>
      <c r="D1046" t="s">
        <v>456</v>
      </c>
      <c r="E1046" t="s">
        <v>26</v>
      </c>
      <c r="F1046" t="s">
        <v>17</v>
      </c>
      <c r="G1046" t="str">
        <f>"02"</f>
        <v>02</v>
      </c>
      <c r="H1046" t="str">
        <f>"3  "</f>
        <v xml:space="preserve">3  </v>
      </c>
      <c r="I1046" t="str">
        <f>"2019/09/25"</f>
        <v>2019/09/25</v>
      </c>
      <c r="J1046" t="str">
        <f>"510"</f>
        <v>510</v>
      </c>
      <c r="K1046" t="str">
        <f>"20280203"</f>
        <v>20280203</v>
      </c>
      <c r="L1046" t="s">
        <v>18</v>
      </c>
      <c r="M1046" t="str">
        <f>"20190318"</f>
        <v>20190318</v>
      </c>
    </row>
    <row r="1047" spans="1:13" x14ac:dyDescent="0.25">
      <c r="A1047" t="str">
        <f>"00835976"</f>
        <v>00835976</v>
      </c>
      <c r="B1047" t="s">
        <v>2303</v>
      </c>
      <c r="C1047" t="s">
        <v>285</v>
      </c>
      <c r="D1047" t="s">
        <v>61</v>
      </c>
      <c r="E1047" t="s">
        <v>16</v>
      </c>
      <c r="F1047" t="s">
        <v>17</v>
      </c>
      <c r="G1047" t="str">
        <f>"02"</f>
        <v>02</v>
      </c>
      <c r="H1047" t="str">
        <f>"3  "</f>
        <v xml:space="preserve">3  </v>
      </c>
      <c r="I1047" t="str">
        <f>"2020/03/23"</f>
        <v>2020/03/23</v>
      </c>
      <c r="J1047" t="str">
        <f>"110"</f>
        <v>110</v>
      </c>
      <c r="K1047" t="str">
        <f>"20220921"</f>
        <v>20220921</v>
      </c>
      <c r="L1047" t="s">
        <v>18</v>
      </c>
      <c r="M1047" t="str">
        <f>"20200323"</f>
        <v>20200323</v>
      </c>
    </row>
    <row r="1048" spans="1:13" x14ac:dyDescent="0.25">
      <c r="A1048" t="str">
        <f>"00474010"</f>
        <v>00474010</v>
      </c>
      <c r="B1048" t="s">
        <v>2307</v>
      </c>
      <c r="C1048" t="s">
        <v>578</v>
      </c>
      <c r="D1048" t="s">
        <v>61</v>
      </c>
      <c r="E1048" t="s">
        <v>26</v>
      </c>
      <c r="F1048" t="s">
        <v>17</v>
      </c>
      <c r="G1048" t="str">
        <f>"02"</f>
        <v>02</v>
      </c>
      <c r="H1048" t="str">
        <f>"3  "</f>
        <v xml:space="preserve">3  </v>
      </c>
      <c r="I1048" t="str">
        <f>"2018/09/04"</f>
        <v>2018/09/04</v>
      </c>
      <c r="J1048" t="str">
        <f>"503"</f>
        <v>503</v>
      </c>
      <c r="K1048" t="str">
        <f>"20400506"</f>
        <v>20400506</v>
      </c>
      <c r="L1048" t="s">
        <v>18</v>
      </c>
      <c r="M1048" t="str">
        <f>"20130128"</f>
        <v>20130128</v>
      </c>
    </row>
    <row r="1049" spans="1:13" x14ac:dyDescent="0.25">
      <c r="A1049" t="str">
        <f>"00201146"</f>
        <v>00201146</v>
      </c>
      <c r="B1049" t="s">
        <v>2309</v>
      </c>
      <c r="C1049" t="s">
        <v>246</v>
      </c>
      <c r="D1049" t="s">
        <v>47</v>
      </c>
      <c r="E1049" t="s">
        <v>16</v>
      </c>
      <c r="F1049" t="s">
        <v>17</v>
      </c>
      <c r="G1049" t="str">
        <f>"02"</f>
        <v>02</v>
      </c>
      <c r="H1049" t="str">
        <f>"3  "</f>
        <v xml:space="preserve">3  </v>
      </c>
      <c r="I1049" t="str">
        <f>"2012/08/20"</f>
        <v>2012/08/20</v>
      </c>
      <c r="J1049" t="str">
        <f>"510"</f>
        <v>510</v>
      </c>
      <c r="K1049" t="str">
        <f>"20221011"</f>
        <v>20221011</v>
      </c>
      <c r="L1049" t="s">
        <v>18</v>
      </c>
      <c r="M1049" t="str">
        <f>"20110109"</f>
        <v>20110109</v>
      </c>
    </row>
    <row r="1050" spans="1:13" x14ac:dyDescent="0.25">
      <c r="A1050" t="str">
        <f>"00726896"</f>
        <v>00726896</v>
      </c>
      <c r="B1050" t="s">
        <v>2310</v>
      </c>
      <c r="C1050" t="s">
        <v>398</v>
      </c>
      <c r="D1050" t="s">
        <v>15</v>
      </c>
      <c r="E1050" t="s">
        <v>16</v>
      </c>
      <c r="F1050" t="s">
        <v>17</v>
      </c>
      <c r="G1050" t="str">
        <f>"02"</f>
        <v>02</v>
      </c>
      <c r="H1050" t="str">
        <f>"3  "</f>
        <v xml:space="preserve">3  </v>
      </c>
      <c r="I1050" t="str">
        <f>"2014/03/26"</f>
        <v>2014/03/26</v>
      </c>
      <c r="J1050" t="str">
        <f>"110"</f>
        <v>110</v>
      </c>
      <c r="K1050" t="str">
        <f>"20390320"</f>
        <v>20390320</v>
      </c>
      <c r="L1050" t="s">
        <v>18</v>
      </c>
      <c r="M1050" t="str">
        <f>"20120919"</f>
        <v>20120919</v>
      </c>
    </row>
    <row r="1051" spans="1:13" x14ac:dyDescent="0.25">
      <c r="A1051" t="str">
        <f>"00732866"</f>
        <v>00732866</v>
      </c>
      <c r="B1051" t="s">
        <v>2312</v>
      </c>
      <c r="C1051" t="s">
        <v>426</v>
      </c>
      <c r="D1051" t="s">
        <v>15</v>
      </c>
      <c r="E1051" t="s">
        <v>16</v>
      </c>
      <c r="F1051" t="s">
        <v>17</v>
      </c>
      <c r="G1051" t="str">
        <f>"02"</f>
        <v>02</v>
      </c>
      <c r="H1051" t="str">
        <f>"3  "</f>
        <v xml:space="preserve">3  </v>
      </c>
      <c r="I1051" t="str">
        <f>"2019/04/22"</f>
        <v>2019/04/22</v>
      </c>
      <c r="J1051" t="str">
        <f>"503"</f>
        <v>503</v>
      </c>
      <c r="K1051" t="str">
        <f>"20220706"</f>
        <v>20220706</v>
      </c>
      <c r="L1051" t="s">
        <v>18</v>
      </c>
      <c r="M1051" t="str">
        <f>"20171229"</f>
        <v>20171229</v>
      </c>
    </row>
    <row r="1052" spans="1:13" x14ac:dyDescent="0.25">
      <c r="A1052" t="str">
        <f>"00338706"</f>
        <v>00338706</v>
      </c>
      <c r="B1052" t="s">
        <v>2315</v>
      </c>
      <c r="C1052" t="s">
        <v>44</v>
      </c>
      <c r="D1052" t="s">
        <v>182</v>
      </c>
      <c r="E1052" t="s">
        <v>26</v>
      </c>
      <c r="F1052" t="s">
        <v>17</v>
      </c>
      <c r="G1052" t="str">
        <f>"02"</f>
        <v>02</v>
      </c>
      <c r="H1052" t="str">
        <f>"3  "</f>
        <v xml:space="preserve">3  </v>
      </c>
      <c r="I1052" t="str">
        <f>"2019/05/03"</f>
        <v>2019/05/03</v>
      </c>
      <c r="J1052" t="str">
        <f>"510"</f>
        <v>510</v>
      </c>
      <c r="K1052" t="str">
        <f>"20290518"</f>
        <v>20290518</v>
      </c>
      <c r="L1052" t="s">
        <v>18</v>
      </c>
      <c r="M1052" t="str">
        <f>"20180313"</f>
        <v>20180313</v>
      </c>
    </row>
    <row r="1053" spans="1:13" x14ac:dyDescent="0.25">
      <c r="A1053" t="str">
        <f>"00475365"</f>
        <v>00475365</v>
      </c>
      <c r="B1053" t="s">
        <v>2315</v>
      </c>
      <c r="C1053" t="s">
        <v>302</v>
      </c>
      <c r="D1053" t="s">
        <v>40</v>
      </c>
      <c r="E1053" t="s">
        <v>26</v>
      </c>
      <c r="F1053" t="s">
        <v>17</v>
      </c>
      <c r="G1053" t="str">
        <f>"02"</f>
        <v>02</v>
      </c>
      <c r="H1053" t="str">
        <f>"3  "</f>
        <v xml:space="preserve">3  </v>
      </c>
      <c r="I1053" t="str">
        <f>"2015/01/21"</f>
        <v>2015/01/21</v>
      </c>
      <c r="J1053" t="str">
        <f>"510"</f>
        <v>510</v>
      </c>
      <c r="K1053" t="str">
        <f>"20250427"</f>
        <v>20250427</v>
      </c>
      <c r="L1053" t="s">
        <v>18</v>
      </c>
      <c r="M1053" t="str">
        <f>"20130619"</f>
        <v>20130619</v>
      </c>
    </row>
    <row r="1054" spans="1:13" x14ac:dyDescent="0.25">
      <c r="A1054" t="str">
        <f>"00638988"</f>
        <v>00638988</v>
      </c>
      <c r="B1054" t="s">
        <v>2315</v>
      </c>
      <c r="C1054" t="s">
        <v>2318</v>
      </c>
      <c r="D1054" t="s">
        <v>51</v>
      </c>
      <c r="E1054" t="s">
        <v>26</v>
      </c>
      <c r="F1054" t="s">
        <v>17</v>
      </c>
      <c r="G1054" t="str">
        <f>"02"</f>
        <v>02</v>
      </c>
      <c r="H1054" t="str">
        <f>"3  "</f>
        <v xml:space="preserve">3  </v>
      </c>
      <c r="I1054" t="str">
        <f>"2015/10/27"</f>
        <v>2015/10/27</v>
      </c>
      <c r="J1054" t="str">
        <f>"510"</f>
        <v>510</v>
      </c>
      <c r="K1054" t="str">
        <f>"20210106"</f>
        <v>20210106</v>
      </c>
      <c r="L1054" t="s">
        <v>18</v>
      </c>
      <c r="M1054" t="str">
        <f>"20140114"</f>
        <v>20140114</v>
      </c>
    </row>
    <row r="1055" spans="1:13" x14ac:dyDescent="0.25">
      <c r="A1055" t="str">
        <f>"00568712"</f>
        <v>00568712</v>
      </c>
      <c r="B1055" t="s">
        <v>2315</v>
      </c>
      <c r="C1055" t="s">
        <v>398</v>
      </c>
      <c r="D1055" t="s">
        <v>25</v>
      </c>
      <c r="E1055" t="s">
        <v>16</v>
      </c>
      <c r="F1055" t="s">
        <v>17</v>
      </c>
      <c r="G1055" t="str">
        <f>"02"</f>
        <v>02</v>
      </c>
      <c r="H1055" t="str">
        <f>"3  "</f>
        <v xml:space="preserve">3  </v>
      </c>
      <c r="I1055" t="str">
        <f>"2018/03/01"</f>
        <v>2018/03/01</v>
      </c>
      <c r="J1055" t="str">
        <f>"110"</f>
        <v>110</v>
      </c>
      <c r="K1055" t="str">
        <f>"20400130"</f>
        <v>20400130</v>
      </c>
      <c r="L1055" t="s">
        <v>18</v>
      </c>
      <c r="M1055" t="str">
        <f>"20170806"</f>
        <v>20170806</v>
      </c>
    </row>
    <row r="1056" spans="1:13" x14ac:dyDescent="0.25">
      <c r="A1056" t="str">
        <f>"00629845"</f>
        <v>00629845</v>
      </c>
      <c r="B1056" t="s">
        <v>2315</v>
      </c>
      <c r="C1056" t="s">
        <v>2322</v>
      </c>
      <c r="D1056" t="s">
        <v>21</v>
      </c>
      <c r="E1056" t="s">
        <v>26</v>
      </c>
      <c r="F1056" t="s">
        <v>17</v>
      </c>
      <c r="G1056" t="str">
        <f>"02"</f>
        <v>02</v>
      </c>
      <c r="H1056" t="str">
        <f>"3  "</f>
        <v xml:space="preserve">3  </v>
      </c>
      <c r="I1056" t="str">
        <f>"2015/05/01"</f>
        <v>2015/05/01</v>
      </c>
      <c r="J1056" t="str">
        <f>"510"</f>
        <v>510</v>
      </c>
      <c r="K1056" t="str">
        <f>"20251029"</f>
        <v>20251029</v>
      </c>
      <c r="L1056" t="s">
        <v>18</v>
      </c>
      <c r="M1056" t="str">
        <f>"20130430"</f>
        <v>20130430</v>
      </c>
    </row>
    <row r="1057" spans="1:13" x14ac:dyDescent="0.25">
      <c r="A1057" t="str">
        <f>"00148635"</f>
        <v>00148635</v>
      </c>
      <c r="B1057" t="s">
        <v>2315</v>
      </c>
      <c r="C1057" t="s">
        <v>22</v>
      </c>
      <c r="D1057" t="s">
        <v>51</v>
      </c>
      <c r="E1057" t="s">
        <v>26</v>
      </c>
      <c r="F1057" t="s">
        <v>17</v>
      </c>
      <c r="G1057" t="str">
        <f>"02"</f>
        <v>02</v>
      </c>
      <c r="H1057" t="str">
        <f>"3  "</f>
        <v xml:space="preserve">3  </v>
      </c>
      <c r="I1057" t="str">
        <f>"2018/05/09"</f>
        <v>2018/05/09</v>
      </c>
      <c r="J1057" t="str">
        <f>"510"</f>
        <v>510</v>
      </c>
      <c r="K1057" t="str">
        <f>"20390227"</f>
        <v>20390227</v>
      </c>
      <c r="L1057" t="s">
        <v>18</v>
      </c>
      <c r="M1057" t="str">
        <f>"20151016"</f>
        <v>20151016</v>
      </c>
    </row>
    <row r="1058" spans="1:13" x14ac:dyDescent="0.25">
      <c r="A1058" t="str">
        <f>"00569722"</f>
        <v>00569722</v>
      </c>
      <c r="B1058" t="s">
        <v>2315</v>
      </c>
      <c r="C1058" t="s">
        <v>169</v>
      </c>
      <c r="D1058" t="s">
        <v>25</v>
      </c>
      <c r="E1058" t="s">
        <v>16</v>
      </c>
      <c r="F1058" t="s">
        <v>17</v>
      </c>
      <c r="G1058" t="str">
        <f>"02"</f>
        <v>02</v>
      </c>
      <c r="H1058" t="str">
        <f>"3  "</f>
        <v xml:space="preserve">3  </v>
      </c>
      <c r="I1058" t="str">
        <f>"2014/11/17"</f>
        <v>2014/11/17</v>
      </c>
      <c r="J1058" t="str">
        <f>"510"</f>
        <v>510</v>
      </c>
      <c r="K1058" t="str">
        <f>"20240911"</f>
        <v>20240911</v>
      </c>
      <c r="L1058" t="s">
        <v>18</v>
      </c>
      <c r="M1058" t="str">
        <f>"20130713"</f>
        <v>20130713</v>
      </c>
    </row>
    <row r="1059" spans="1:13" x14ac:dyDescent="0.25">
      <c r="A1059" t="str">
        <f>"00351958"</f>
        <v>00351958</v>
      </c>
      <c r="B1059" t="s">
        <v>2315</v>
      </c>
      <c r="C1059" t="s">
        <v>169</v>
      </c>
      <c r="D1059" t="s">
        <v>51</v>
      </c>
      <c r="E1059" t="s">
        <v>26</v>
      </c>
      <c r="F1059" t="s">
        <v>17</v>
      </c>
      <c r="G1059" t="str">
        <f>"02"</f>
        <v>02</v>
      </c>
      <c r="H1059" t="str">
        <f>"3  "</f>
        <v xml:space="preserve">3  </v>
      </c>
      <c r="I1059" t="str">
        <f>"2020/02/12"</f>
        <v>2020/02/12</v>
      </c>
      <c r="J1059" t="str">
        <f>"512"</f>
        <v>512</v>
      </c>
      <c r="K1059" t="str">
        <f>"20211214"</f>
        <v>20211214</v>
      </c>
      <c r="L1059" t="s">
        <v>18</v>
      </c>
      <c r="M1059" t="str">
        <f>"20200116"</f>
        <v>20200116</v>
      </c>
    </row>
    <row r="1060" spans="1:13" x14ac:dyDescent="0.25">
      <c r="A1060" t="str">
        <f>"00202557"</f>
        <v>00202557</v>
      </c>
      <c r="B1060" t="s">
        <v>2332</v>
      </c>
      <c r="C1060" t="s">
        <v>74</v>
      </c>
      <c r="D1060" t="s">
        <v>61</v>
      </c>
      <c r="E1060" t="s">
        <v>26</v>
      </c>
      <c r="F1060" t="s">
        <v>17</v>
      </c>
      <c r="G1060" t="str">
        <f>"02"</f>
        <v>02</v>
      </c>
      <c r="H1060" t="str">
        <f>"3  "</f>
        <v xml:space="preserve">3  </v>
      </c>
      <c r="I1060" t="str">
        <f>"2018/07/17"</f>
        <v>2018/07/17</v>
      </c>
      <c r="J1060" t="str">
        <f>"110"</f>
        <v>110</v>
      </c>
      <c r="K1060" t="str">
        <f>"20310108"</f>
        <v>20310108</v>
      </c>
      <c r="L1060" t="s">
        <v>18</v>
      </c>
      <c r="M1060" t="str">
        <f>"20170809"</f>
        <v>20170809</v>
      </c>
    </row>
    <row r="1061" spans="1:13" x14ac:dyDescent="0.25">
      <c r="A1061" t="str">
        <f>"00741658"</f>
        <v>00741658</v>
      </c>
      <c r="B1061" t="s">
        <v>2340</v>
      </c>
      <c r="C1061" t="s">
        <v>44</v>
      </c>
      <c r="D1061" t="s">
        <v>25</v>
      </c>
      <c r="E1061" t="s">
        <v>26</v>
      </c>
      <c r="F1061" t="s">
        <v>17</v>
      </c>
      <c r="G1061" t="str">
        <f>"02"</f>
        <v>02</v>
      </c>
      <c r="H1061" t="str">
        <f>"3  "</f>
        <v xml:space="preserve">3  </v>
      </c>
      <c r="I1061" t="str">
        <f>"2020/09/02"</f>
        <v>2020/09/02</v>
      </c>
      <c r="J1061" t="str">
        <f>"533"</f>
        <v>533</v>
      </c>
      <c r="K1061" t="str">
        <f>"20261018"</f>
        <v>20261018</v>
      </c>
      <c r="L1061" t="s">
        <v>18</v>
      </c>
      <c r="M1061" t="str">
        <f>"20160117"</f>
        <v>20160117</v>
      </c>
    </row>
    <row r="1062" spans="1:13" x14ac:dyDescent="0.25">
      <c r="A1062" t="str">
        <f>"00262837"</f>
        <v>00262837</v>
      </c>
      <c r="B1062" t="s">
        <v>2342</v>
      </c>
      <c r="C1062" t="s">
        <v>96</v>
      </c>
      <c r="D1062" t="s">
        <v>45</v>
      </c>
      <c r="E1062" t="s">
        <v>26</v>
      </c>
      <c r="F1062" t="s">
        <v>17</v>
      </c>
      <c r="G1062" t="str">
        <f>"02"</f>
        <v>02</v>
      </c>
      <c r="H1062" t="str">
        <f>"7  "</f>
        <v xml:space="preserve">7  </v>
      </c>
      <c r="I1062" t="str">
        <f>"1991/11/13"</f>
        <v>1991/11/13</v>
      </c>
      <c r="J1062" t="str">
        <f>"114"</f>
        <v>114</v>
      </c>
      <c r="K1062" t="s">
        <v>18</v>
      </c>
      <c r="L1062" t="s">
        <v>18</v>
      </c>
      <c r="M1062" t="str">
        <f>"19901219"</f>
        <v>19901219</v>
      </c>
    </row>
    <row r="1063" spans="1:13" x14ac:dyDescent="0.25">
      <c r="A1063" t="str">
        <f>"00337996"</f>
        <v>00337996</v>
      </c>
      <c r="B1063" t="s">
        <v>2343</v>
      </c>
      <c r="C1063" t="s">
        <v>115</v>
      </c>
      <c r="D1063" t="s">
        <v>61</v>
      </c>
      <c r="E1063" t="s">
        <v>26</v>
      </c>
      <c r="F1063" t="s">
        <v>17</v>
      </c>
      <c r="G1063" t="str">
        <f>"02"</f>
        <v>02</v>
      </c>
      <c r="H1063" t="str">
        <f>"3  "</f>
        <v xml:space="preserve">3  </v>
      </c>
      <c r="I1063" t="str">
        <f>"2016/08/12"</f>
        <v>2016/08/12</v>
      </c>
      <c r="J1063" t="str">
        <f>"510"</f>
        <v>510</v>
      </c>
      <c r="K1063" t="str">
        <f>"20370422"</f>
        <v>20370422</v>
      </c>
      <c r="L1063" t="s">
        <v>18</v>
      </c>
      <c r="M1063" t="str">
        <f>"20141030"</f>
        <v>20141030</v>
      </c>
    </row>
    <row r="1064" spans="1:13" x14ac:dyDescent="0.25">
      <c r="A1064" t="str">
        <f>"00284809"</f>
        <v>00284809</v>
      </c>
      <c r="B1064" t="s">
        <v>2343</v>
      </c>
      <c r="C1064" t="s">
        <v>148</v>
      </c>
      <c r="D1064" t="s">
        <v>37</v>
      </c>
      <c r="E1064" t="s">
        <v>26</v>
      </c>
      <c r="F1064" t="s">
        <v>17</v>
      </c>
      <c r="G1064" t="str">
        <f>"02"</f>
        <v>02</v>
      </c>
      <c r="H1064" t="str">
        <f>"3  "</f>
        <v xml:space="preserve">3  </v>
      </c>
      <c r="I1064" t="str">
        <f>"2019/11/08"</f>
        <v>2019/11/08</v>
      </c>
      <c r="J1064" t="str">
        <f>"510"</f>
        <v>510</v>
      </c>
      <c r="K1064" t="str">
        <f>"20490307"</f>
        <v>20490307</v>
      </c>
      <c r="L1064" t="s">
        <v>18</v>
      </c>
      <c r="M1064" t="str">
        <f>"20190309"</f>
        <v>20190309</v>
      </c>
    </row>
    <row r="1065" spans="1:13" x14ac:dyDescent="0.25">
      <c r="A1065" t="str">
        <f>"00634730"</f>
        <v>00634730</v>
      </c>
      <c r="B1065" t="s">
        <v>2343</v>
      </c>
      <c r="C1065" t="s">
        <v>2347</v>
      </c>
      <c r="D1065" t="s">
        <v>51</v>
      </c>
      <c r="E1065" t="s">
        <v>26</v>
      </c>
      <c r="F1065" t="s">
        <v>17</v>
      </c>
      <c r="G1065" t="str">
        <f>"02"</f>
        <v>02</v>
      </c>
      <c r="H1065" t="str">
        <f>"3  "</f>
        <v xml:space="preserve">3  </v>
      </c>
      <c r="I1065" t="str">
        <f>"2015/02/02"</f>
        <v>2015/02/02</v>
      </c>
      <c r="J1065" t="str">
        <f>"510"</f>
        <v>510</v>
      </c>
      <c r="K1065" t="str">
        <f>"20320806"</f>
        <v>20320806</v>
      </c>
      <c r="L1065" t="s">
        <v>18</v>
      </c>
      <c r="M1065" t="str">
        <f>"20130108"</f>
        <v>20130108</v>
      </c>
    </row>
    <row r="1066" spans="1:13" x14ac:dyDescent="0.25">
      <c r="A1066" t="str">
        <f>"00657486"</f>
        <v>00657486</v>
      </c>
      <c r="B1066" t="s">
        <v>2348</v>
      </c>
      <c r="C1066" t="s">
        <v>140</v>
      </c>
      <c r="D1066" t="s">
        <v>25</v>
      </c>
      <c r="E1066" t="s">
        <v>16</v>
      </c>
      <c r="F1066" t="s">
        <v>17</v>
      </c>
      <c r="G1066" t="str">
        <f>"02"</f>
        <v>02</v>
      </c>
      <c r="H1066" t="str">
        <f>"3  "</f>
        <v xml:space="preserve">3  </v>
      </c>
      <c r="I1066" t="str">
        <f>"2011/08/03"</f>
        <v>2011/08/03</v>
      </c>
      <c r="J1066" t="str">
        <f>"503"</f>
        <v>503</v>
      </c>
      <c r="K1066" t="str">
        <f>"20220530"</f>
        <v>20220530</v>
      </c>
      <c r="L1066" t="s">
        <v>18</v>
      </c>
      <c r="M1066" t="str">
        <f>"20091229"</f>
        <v>20091229</v>
      </c>
    </row>
    <row r="1067" spans="1:13" x14ac:dyDescent="0.25">
      <c r="A1067" t="str">
        <f>"00345085"</f>
        <v>00345085</v>
      </c>
      <c r="B1067" t="s">
        <v>2349</v>
      </c>
      <c r="C1067" t="s">
        <v>397</v>
      </c>
      <c r="D1067" t="s">
        <v>53</v>
      </c>
      <c r="E1067" t="s">
        <v>16</v>
      </c>
      <c r="F1067" t="s">
        <v>17</v>
      </c>
      <c r="G1067" t="str">
        <f>"02"</f>
        <v>02</v>
      </c>
      <c r="H1067" t="str">
        <f>"3  "</f>
        <v xml:space="preserve">3  </v>
      </c>
      <c r="I1067" t="str">
        <f>"2016/08/02"</f>
        <v>2016/08/02</v>
      </c>
      <c r="J1067" t="str">
        <f>"110"</f>
        <v>110</v>
      </c>
      <c r="K1067" t="str">
        <f>"20240103"</f>
        <v>20240103</v>
      </c>
      <c r="L1067" t="s">
        <v>18</v>
      </c>
      <c r="M1067" t="str">
        <f>"20160728"</f>
        <v>20160728</v>
      </c>
    </row>
    <row r="1068" spans="1:13" x14ac:dyDescent="0.25">
      <c r="A1068" t="str">
        <f>"00503667"</f>
        <v>00503667</v>
      </c>
      <c r="B1068" t="s">
        <v>2350</v>
      </c>
      <c r="C1068" t="s">
        <v>168</v>
      </c>
      <c r="D1068" t="s">
        <v>51</v>
      </c>
      <c r="E1068" t="s">
        <v>26</v>
      </c>
      <c r="F1068" t="s">
        <v>17</v>
      </c>
      <c r="G1068" t="str">
        <f>"02"</f>
        <v>02</v>
      </c>
      <c r="H1068" t="str">
        <f>"3  "</f>
        <v xml:space="preserve">3  </v>
      </c>
      <c r="I1068" t="str">
        <f>"2018/10/12"</f>
        <v>2018/10/12</v>
      </c>
      <c r="J1068" t="str">
        <f>"510"</f>
        <v>510</v>
      </c>
      <c r="K1068" t="str">
        <f>"20450412"</f>
        <v>20450412</v>
      </c>
      <c r="L1068" t="s">
        <v>18</v>
      </c>
      <c r="M1068" t="str">
        <f>"20180329"</f>
        <v>20180329</v>
      </c>
    </row>
    <row r="1069" spans="1:13" x14ac:dyDescent="0.25">
      <c r="A1069" t="str">
        <f>"00535840"</f>
        <v>00535840</v>
      </c>
      <c r="B1069" t="s">
        <v>2351</v>
      </c>
      <c r="C1069" t="s">
        <v>1828</v>
      </c>
      <c r="D1069" t="s">
        <v>21</v>
      </c>
      <c r="E1069" t="s">
        <v>26</v>
      </c>
      <c r="F1069" t="s">
        <v>17</v>
      </c>
      <c r="G1069" t="str">
        <f>"02"</f>
        <v>02</v>
      </c>
      <c r="H1069" t="str">
        <f>"3  "</f>
        <v xml:space="preserve">3  </v>
      </c>
      <c r="I1069" t="str">
        <f>"2019/05/03"</f>
        <v>2019/05/03</v>
      </c>
      <c r="J1069" t="str">
        <f>"510"</f>
        <v>510</v>
      </c>
      <c r="K1069" t="str">
        <f>"20260306"</f>
        <v>20260306</v>
      </c>
      <c r="L1069" t="s">
        <v>18</v>
      </c>
      <c r="M1069" t="str">
        <f>"20170329"</f>
        <v>20170329</v>
      </c>
    </row>
    <row r="1070" spans="1:13" x14ac:dyDescent="0.25">
      <c r="A1070" t="str">
        <f>"00529989"</f>
        <v>00529989</v>
      </c>
      <c r="B1070" t="s">
        <v>2352</v>
      </c>
      <c r="C1070" t="s">
        <v>191</v>
      </c>
      <c r="D1070" t="s">
        <v>73</v>
      </c>
      <c r="E1070" t="s">
        <v>26</v>
      </c>
      <c r="F1070" t="s">
        <v>17</v>
      </c>
      <c r="G1070" t="str">
        <f>"02"</f>
        <v>02</v>
      </c>
      <c r="H1070" t="str">
        <f>"3  "</f>
        <v xml:space="preserve">3  </v>
      </c>
      <c r="I1070" t="str">
        <f>"2006/12/15"</f>
        <v>2006/12/15</v>
      </c>
      <c r="J1070" t="str">
        <f>"534"</f>
        <v>534</v>
      </c>
      <c r="K1070" t="str">
        <f>"20210212"</f>
        <v>20210212</v>
      </c>
      <c r="L1070" t="s">
        <v>18</v>
      </c>
      <c r="M1070" t="str">
        <f>"20060124"</f>
        <v>20060124</v>
      </c>
    </row>
    <row r="1071" spans="1:13" x14ac:dyDescent="0.25">
      <c r="A1071" t="str">
        <f>"00428224"</f>
        <v>00428224</v>
      </c>
      <c r="B1071" t="s">
        <v>2356</v>
      </c>
      <c r="C1071" t="s">
        <v>2357</v>
      </c>
      <c r="D1071" t="s">
        <v>21</v>
      </c>
      <c r="E1071" t="s">
        <v>26</v>
      </c>
      <c r="F1071" t="s">
        <v>17</v>
      </c>
      <c r="G1071" t="str">
        <f>"02"</f>
        <v>02</v>
      </c>
      <c r="H1071" t="str">
        <f>"3  "</f>
        <v xml:space="preserve">3  </v>
      </c>
      <c r="I1071" t="str">
        <f>"2012/02/22"</f>
        <v>2012/02/22</v>
      </c>
      <c r="J1071" t="str">
        <f>"510"</f>
        <v>510</v>
      </c>
      <c r="K1071" t="str">
        <f>"20320625"</f>
        <v>20320625</v>
      </c>
      <c r="L1071" t="str">
        <f>"20340502"</f>
        <v>20340502</v>
      </c>
      <c r="M1071" t="str">
        <f>"20100503"</f>
        <v>20100503</v>
      </c>
    </row>
    <row r="1072" spans="1:13" x14ac:dyDescent="0.25">
      <c r="A1072" t="str">
        <f>"00433089"</f>
        <v>00433089</v>
      </c>
      <c r="B1072" t="s">
        <v>2360</v>
      </c>
      <c r="C1072" t="s">
        <v>115</v>
      </c>
      <c r="D1072" t="s">
        <v>21</v>
      </c>
      <c r="E1072" t="s">
        <v>16</v>
      </c>
      <c r="F1072" t="s">
        <v>17</v>
      </c>
      <c r="G1072" t="str">
        <f>"02"</f>
        <v>02</v>
      </c>
      <c r="H1072" t="str">
        <f>"3  "</f>
        <v xml:space="preserve">3  </v>
      </c>
      <c r="I1072" t="str">
        <f>"2016/06/29"</f>
        <v>2016/06/29</v>
      </c>
      <c r="J1072" t="str">
        <f>"510"</f>
        <v>510</v>
      </c>
      <c r="K1072" t="str">
        <f>"20221114"</f>
        <v>20221114</v>
      </c>
      <c r="L1072" t="s">
        <v>18</v>
      </c>
      <c r="M1072" t="str">
        <f>"20150611"</f>
        <v>20150611</v>
      </c>
    </row>
    <row r="1073" spans="1:13" x14ac:dyDescent="0.25">
      <c r="A1073" t="str">
        <f>"00843318"</f>
        <v>00843318</v>
      </c>
      <c r="B1073" t="s">
        <v>2360</v>
      </c>
      <c r="C1073" t="s">
        <v>14</v>
      </c>
      <c r="D1073" t="s">
        <v>25</v>
      </c>
      <c r="E1073" t="s">
        <v>26</v>
      </c>
      <c r="F1073" t="s">
        <v>17</v>
      </c>
      <c r="G1073" t="str">
        <f>"02"</f>
        <v>02</v>
      </c>
      <c r="H1073" t="str">
        <f>"3  "</f>
        <v xml:space="preserve">3  </v>
      </c>
      <c r="I1073" t="str">
        <f>"2018/02/01"</f>
        <v>2018/02/01</v>
      </c>
      <c r="J1073" t="str">
        <f>"110"</f>
        <v>110</v>
      </c>
      <c r="K1073" t="str">
        <f>"20210323"</f>
        <v>20210323</v>
      </c>
      <c r="L1073" t="s">
        <v>18</v>
      </c>
      <c r="M1073" t="str">
        <f>"20170823"</f>
        <v>20170823</v>
      </c>
    </row>
    <row r="1074" spans="1:13" x14ac:dyDescent="0.25">
      <c r="A1074" t="str">
        <f>"00158239"</f>
        <v>00158239</v>
      </c>
      <c r="B1074" t="s">
        <v>2360</v>
      </c>
      <c r="C1074" t="s">
        <v>1309</v>
      </c>
      <c r="D1074" t="s">
        <v>45</v>
      </c>
      <c r="E1074" t="s">
        <v>16</v>
      </c>
      <c r="F1074" t="s">
        <v>17</v>
      </c>
      <c r="G1074" t="str">
        <f>"02"</f>
        <v>02</v>
      </c>
      <c r="H1074" t="str">
        <f>"3  "</f>
        <v xml:space="preserve">3  </v>
      </c>
      <c r="I1074" t="str">
        <f>"2019/11/07"</f>
        <v>2019/11/07</v>
      </c>
      <c r="J1074" t="str">
        <f>"110"</f>
        <v>110</v>
      </c>
      <c r="K1074" t="str">
        <f>"20240419"</f>
        <v>20240419</v>
      </c>
      <c r="L1074" t="s">
        <v>18</v>
      </c>
      <c r="M1074" t="str">
        <f>"20191107"</f>
        <v>20191107</v>
      </c>
    </row>
    <row r="1075" spans="1:13" x14ac:dyDescent="0.25">
      <c r="A1075" t="str">
        <f>"00121604"</f>
        <v>00121604</v>
      </c>
      <c r="B1075" t="s">
        <v>2360</v>
      </c>
      <c r="C1075" t="s">
        <v>213</v>
      </c>
      <c r="D1075" t="s">
        <v>142</v>
      </c>
      <c r="E1075" t="s">
        <v>26</v>
      </c>
      <c r="F1075" t="s">
        <v>17</v>
      </c>
      <c r="G1075" t="str">
        <f>"02"</f>
        <v>02</v>
      </c>
      <c r="H1075" t="str">
        <f>"7  "</f>
        <v xml:space="preserve">7  </v>
      </c>
      <c r="I1075" t="str">
        <f>"1993/08/12"</f>
        <v>1993/08/12</v>
      </c>
      <c r="J1075" t="str">
        <f>"503"</f>
        <v>503</v>
      </c>
      <c r="K1075" t="s">
        <v>18</v>
      </c>
      <c r="L1075" t="str">
        <f>"20220128"</f>
        <v>20220128</v>
      </c>
      <c r="M1075" t="str">
        <f>"19730913"</f>
        <v>19730913</v>
      </c>
    </row>
    <row r="1076" spans="1:13" x14ac:dyDescent="0.25">
      <c r="A1076" t="str">
        <f>"00440799"</f>
        <v>00440799</v>
      </c>
      <c r="B1076" t="s">
        <v>2363</v>
      </c>
      <c r="C1076" t="s">
        <v>2364</v>
      </c>
      <c r="D1076" t="s">
        <v>53</v>
      </c>
      <c r="E1076" t="s">
        <v>26</v>
      </c>
      <c r="F1076" t="s">
        <v>17</v>
      </c>
      <c r="G1076" t="str">
        <f>"02"</f>
        <v>02</v>
      </c>
      <c r="H1076" t="str">
        <f>"3  "</f>
        <v xml:space="preserve">3  </v>
      </c>
      <c r="I1076" t="str">
        <f>"2017/07/28"</f>
        <v>2017/07/28</v>
      </c>
      <c r="J1076" t="str">
        <f>"510"</f>
        <v>510</v>
      </c>
      <c r="K1076" t="str">
        <f>"20381114"</f>
        <v>20381114</v>
      </c>
      <c r="L1076" t="s">
        <v>18</v>
      </c>
      <c r="M1076" t="str">
        <f>"20160703"</f>
        <v>20160703</v>
      </c>
    </row>
    <row r="1077" spans="1:13" x14ac:dyDescent="0.25">
      <c r="A1077" t="str">
        <f>"00222457"</f>
        <v>00222457</v>
      </c>
      <c r="B1077" t="s">
        <v>2363</v>
      </c>
      <c r="C1077" t="s">
        <v>169</v>
      </c>
      <c r="D1077" t="s">
        <v>15</v>
      </c>
      <c r="E1077" t="s">
        <v>26</v>
      </c>
      <c r="F1077" t="s">
        <v>17</v>
      </c>
      <c r="G1077" t="str">
        <f>"02"</f>
        <v>02</v>
      </c>
      <c r="H1077" t="str">
        <f>"7  "</f>
        <v xml:space="preserve">7  </v>
      </c>
      <c r="I1077" t="str">
        <f>"2011/10/12"</f>
        <v>2011/10/12</v>
      </c>
      <c r="J1077" t="str">
        <f>"110"</f>
        <v>110</v>
      </c>
      <c r="K1077" t="s">
        <v>18</v>
      </c>
      <c r="L1077" t="s">
        <v>18</v>
      </c>
      <c r="M1077" t="str">
        <f>"20100615"</f>
        <v>20100615</v>
      </c>
    </row>
    <row r="1078" spans="1:13" x14ac:dyDescent="0.25">
      <c r="A1078" t="str">
        <f>"00165641"</f>
        <v>00165641</v>
      </c>
      <c r="B1078" t="s">
        <v>2365</v>
      </c>
      <c r="C1078" t="s">
        <v>218</v>
      </c>
      <c r="D1078" t="s">
        <v>61</v>
      </c>
      <c r="E1078" t="s">
        <v>16</v>
      </c>
      <c r="F1078" t="s">
        <v>17</v>
      </c>
      <c r="G1078" t="str">
        <f>"02"</f>
        <v>02</v>
      </c>
      <c r="H1078" t="str">
        <f>"7  "</f>
        <v xml:space="preserve">7  </v>
      </c>
      <c r="I1078" t="str">
        <f>"2006/09/14"</f>
        <v>2006/09/14</v>
      </c>
      <c r="J1078" t="str">
        <f>"510"</f>
        <v>510</v>
      </c>
      <c r="K1078" t="s">
        <v>18</v>
      </c>
      <c r="L1078" t="s">
        <v>18</v>
      </c>
      <c r="M1078" t="str">
        <f>"20050608"</f>
        <v>20050608</v>
      </c>
    </row>
    <row r="1079" spans="1:13" x14ac:dyDescent="0.25">
      <c r="A1079" t="str">
        <f>"00372976"</f>
        <v>00372976</v>
      </c>
      <c r="B1079" t="s">
        <v>2365</v>
      </c>
      <c r="C1079" t="s">
        <v>74</v>
      </c>
      <c r="D1079" t="s">
        <v>215</v>
      </c>
      <c r="E1079" t="s">
        <v>26</v>
      </c>
      <c r="F1079" t="s">
        <v>17</v>
      </c>
      <c r="G1079" t="str">
        <f>"02"</f>
        <v>02</v>
      </c>
      <c r="H1079" t="str">
        <f>"3  "</f>
        <v xml:space="preserve">3  </v>
      </c>
      <c r="I1079" t="str">
        <f>"2014/07/23"</f>
        <v>2014/07/23</v>
      </c>
      <c r="J1079" t="str">
        <f>"510"</f>
        <v>510</v>
      </c>
      <c r="K1079" t="str">
        <f>"20270511"</f>
        <v>20270511</v>
      </c>
      <c r="L1079" t="s">
        <v>18</v>
      </c>
      <c r="M1079" t="str">
        <f>"20130510"</f>
        <v>20130510</v>
      </c>
    </row>
    <row r="1080" spans="1:13" x14ac:dyDescent="0.25">
      <c r="A1080" t="str">
        <f>"00567118"</f>
        <v>00567118</v>
      </c>
      <c r="B1080" t="s">
        <v>2375</v>
      </c>
      <c r="C1080" t="s">
        <v>2377</v>
      </c>
      <c r="D1080" t="s">
        <v>80</v>
      </c>
      <c r="E1080" t="s">
        <v>26</v>
      </c>
      <c r="F1080" t="s">
        <v>17</v>
      </c>
      <c r="G1080" t="str">
        <f>"02"</f>
        <v>02</v>
      </c>
      <c r="H1080" t="str">
        <f>"3  "</f>
        <v xml:space="preserve">3  </v>
      </c>
      <c r="I1080" t="str">
        <f>"2014/10/30"</f>
        <v>2014/10/30</v>
      </c>
      <c r="J1080" t="str">
        <f>"110"</f>
        <v>110</v>
      </c>
      <c r="K1080" t="str">
        <f>"20220812"</f>
        <v>20220812</v>
      </c>
      <c r="L1080" t="s">
        <v>18</v>
      </c>
      <c r="M1080" t="str">
        <f>"20140804"</f>
        <v>20140804</v>
      </c>
    </row>
    <row r="1081" spans="1:13" x14ac:dyDescent="0.25">
      <c r="A1081" t="str">
        <f>"00323810"</f>
        <v>00323810</v>
      </c>
      <c r="B1081" t="s">
        <v>2379</v>
      </c>
      <c r="C1081" t="s">
        <v>524</v>
      </c>
      <c r="D1081" t="s">
        <v>61</v>
      </c>
      <c r="E1081" t="s">
        <v>26</v>
      </c>
      <c r="F1081" t="s">
        <v>17</v>
      </c>
      <c r="G1081" t="str">
        <f>"02"</f>
        <v>02</v>
      </c>
      <c r="H1081" t="str">
        <f>"3  "</f>
        <v xml:space="preserve">3  </v>
      </c>
      <c r="I1081" t="str">
        <f>"2020/09/02"</f>
        <v>2020/09/02</v>
      </c>
      <c r="J1081" t="str">
        <f>"533"</f>
        <v>533</v>
      </c>
      <c r="K1081" t="str">
        <f>"20270424"</f>
        <v>20270424</v>
      </c>
      <c r="L1081" t="s">
        <v>18</v>
      </c>
      <c r="M1081" t="str">
        <f>"20120508"</f>
        <v>20120508</v>
      </c>
    </row>
    <row r="1082" spans="1:13" x14ac:dyDescent="0.25">
      <c r="A1082" t="str">
        <f>"00282566"</f>
        <v>00282566</v>
      </c>
      <c r="B1082" t="s">
        <v>2382</v>
      </c>
      <c r="C1082" t="s">
        <v>1108</v>
      </c>
      <c r="D1082" t="s">
        <v>21</v>
      </c>
      <c r="E1082" t="s">
        <v>26</v>
      </c>
      <c r="F1082" t="s">
        <v>17</v>
      </c>
      <c r="G1082" t="str">
        <f>"02"</f>
        <v>02</v>
      </c>
      <c r="H1082" t="str">
        <f>"1  "</f>
        <v xml:space="preserve">1  </v>
      </c>
      <c r="I1082" t="str">
        <f>"2020/08/25"</f>
        <v>2020/08/25</v>
      </c>
      <c r="J1082" t="str">
        <f>"503"</f>
        <v>503</v>
      </c>
      <c r="K1082" t="str">
        <f>"20201014"</f>
        <v>20201014</v>
      </c>
      <c r="L1082" t="s">
        <v>18</v>
      </c>
      <c r="M1082" t="str">
        <f>"20200427"</f>
        <v>20200427</v>
      </c>
    </row>
    <row r="1083" spans="1:13" x14ac:dyDescent="0.25">
      <c r="A1083" t="str">
        <f>"00469639"</f>
        <v>00469639</v>
      </c>
      <c r="B1083" t="s">
        <v>2386</v>
      </c>
      <c r="C1083" t="s">
        <v>2387</v>
      </c>
      <c r="D1083" t="s">
        <v>91</v>
      </c>
      <c r="E1083" t="s">
        <v>26</v>
      </c>
      <c r="F1083" t="s">
        <v>17</v>
      </c>
      <c r="G1083" t="str">
        <f>"02"</f>
        <v>02</v>
      </c>
      <c r="H1083" t="str">
        <f>"7  "</f>
        <v xml:space="preserve">7  </v>
      </c>
      <c r="I1083" t="str">
        <f>"2005/04/20"</f>
        <v>2005/04/20</v>
      </c>
      <c r="J1083" t="str">
        <f>"510"</f>
        <v>510</v>
      </c>
      <c r="K1083" t="s">
        <v>18</v>
      </c>
      <c r="L1083" t="s">
        <v>18</v>
      </c>
      <c r="M1083" t="str">
        <f>"20030723"</f>
        <v>20030723</v>
      </c>
    </row>
    <row r="1084" spans="1:13" x14ac:dyDescent="0.25">
      <c r="A1084" t="str">
        <f>"00502966"</f>
        <v>00502966</v>
      </c>
      <c r="B1084" t="s">
        <v>2388</v>
      </c>
      <c r="C1084" t="s">
        <v>2389</v>
      </c>
      <c r="D1084" t="s">
        <v>25</v>
      </c>
      <c r="E1084" t="s">
        <v>26</v>
      </c>
      <c r="F1084" t="s">
        <v>17</v>
      </c>
      <c r="G1084" t="str">
        <f>"02"</f>
        <v>02</v>
      </c>
      <c r="H1084" t="str">
        <f>"3  "</f>
        <v xml:space="preserve">3  </v>
      </c>
      <c r="I1084" t="str">
        <f>"2018/10/05"</f>
        <v>2018/10/05</v>
      </c>
      <c r="J1084" t="str">
        <f>"510"</f>
        <v>510</v>
      </c>
      <c r="K1084" t="str">
        <f>"20220807"</f>
        <v>20220807</v>
      </c>
      <c r="L1084" t="s">
        <v>18</v>
      </c>
      <c r="M1084" t="str">
        <f>"20140827"</f>
        <v>20140827</v>
      </c>
    </row>
    <row r="1085" spans="1:13" x14ac:dyDescent="0.25">
      <c r="A1085" t="str">
        <f>"00198429"</f>
        <v>00198429</v>
      </c>
      <c r="B1085" t="s">
        <v>2390</v>
      </c>
      <c r="C1085" t="s">
        <v>49</v>
      </c>
      <c r="D1085" t="s">
        <v>51</v>
      </c>
      <c r="E1085" t="s">
        <v>26</v>
      </c>
      <c r="F1085" t="s">
        <v>17</v>
      </c>
      <c r="G1085" t="str">
        <f>"02"</f>
        <v>02</v>
      </c>
      <c r="H1085" t="str">
        <f>"7  "</f>
        <v xml:space="preserve">7  </v>
      </c>
      <c r="I1085" t="str">
        <f>"2001/08/30"</f>
        <v>2001/08/30</v>
      </c>
      <c r="J1085" t="str">
        <f>"503"</f>
        <v>503</v>
      </c>
      <c r="K1085" t="s">
        <v>18</v>
      </c>
      <c r="L1085" t="str">
        <f>"20100805"</f>
        <v>20100805</v>
      </c>
      <c r="M1085" t="str">
        <f>"19860419"</f>
        <v>19860419</v>
      </c>
    </row>
    <row r="1086" spans="1:13" x14ac:dyDescent="0.25">
      <c r="A1086" t="str">
        <f>"00520462"</f>
        <v>00520462</v>
      </c>
      <c r="B1086" t="s">
        <v>2392</v>
      </c>
      <c r="C1086" t="s">
        <v>2393</v>
      </c>
      <c r="D1086" t="s">
        <v>25</v>
      </c>
      <c r="E1086" t="s">
        <v>26</v>
      </c>
      <c r="F1086" t="s">
        <v>17</v>
      </c>
      <c r="G1086" t="str">
        <f>"02"</f>
        <v>02</v>
      </c>
      <c r="H1086" t="str">
        <f>"3  "</f>
        <v xml:space="preserve">3  </v>
      </c>
      <c r="I1086" t="str">
        <f>"2019/09/11"</f>
        <v>2019/09/11</v>
      </c>
      <c r="J1086" t="str">
        <f>"110"</f>
        <v>110</v>
      </c>
      <c r="K1086" t="str">
        <f>"20221127"</f>
        <v>20221127</v>
      </c>
      <c r="L1086" t="str">
        <f>"20210407"</f>
        <v>20210407</v>
      </c>
      <c r="M1086" t="str">
        <f>"20130619"</f>
        <v>20130619</v>
      </c>
    </row>
    <row r="1087" spans="1:13" x14ac:dyDescent="0.25">
      <c r="A1087" t="str">
        <f>"00532247"</f>
        <v>00532247</v>
      </c>
      <c r="B1087" t="s">
        <v>2394</v>
      </c>
      <c r="C1087" t="s">
        <v>176</v>
      </c>
      <c r="D1087" t="s">
        <v>456</v>
      </c>
      <c r="E1087" t="s">
        <v>16</v>
      </c>
      <c r="F1087" t="s">
        <v>17</v>
      </c>
      <c r="G1087" t="str">
        <f>"02"</f>
        <v>02</v>
      </c>
      <c r="H1087" t="str">
        <f>"3  "</f>
        <v xml:space="preserve">3  </v>
      </c>
      <c r="I1087" t="str">
        <f>"2020/08/05"</f>
        <v>2020/08/05</v>
      </c>
      <c r="J1087" t="str">
        <f>"533"</f>
        <v>533</v>
      </c>
      <c r="K1087" t="str">
        <f>"20241008"</f>
        <v>20241008</v>
      </c>
      <c r="L1087" t="s">
        <v>18</v>
      </c>
      <c r="M1087" t="str">
        <f>"20160129"</f>
        <v>20160129</v>
      </c>
    </row>
    <row r="1088" spans="1:13" x14ac:dyDescent="0.25">
      <c r="A1088" t="str">
        <f>"00189078"</f>
        <v>00189078</v>
      </c>
      <c r="B1088" t="s">
        <v>2402</v>
      </c>
      <c r="C1088" t="s">
        <v>2403</v>
      </c>
      <c r="D1088" t="s">
        <v>45</v>
      </c>
      <c r="E1088" t="s">
        <v>16</v>
      </c>
      <c r="F1088" t="s">
        <v>17</v>
      </c>
      <c r="G1088" t="str">
        <f>"02"</f>
        <v>02</v>
      </c>
      <c r="H1088" t="str">
        <f>"7  "</f>
        <v xml:space="preserve">7  </v>
      </c>
      <c r="I1088" t="str">
        <f>"2001/01/24"</f>
        <v>2001/01/24</v>
      </c>
      <c r="J1088" t="str">
        <f>"533"</f>
        <v>533</v>
      </c>
      <c r="K1088" t="s">
        <v>18</v>
      </c>
      <c r="L1088" t="s">
        <v>18</v>
      </c>
      <c r="M1088" t="str">
        <f>"19921121"</f>
        <v>19921121</v>
      </c>
    </row>
    <row r="1089" spans="1:13" x14ac:dyDescent="0.25">
      <c r="A1089" t="str">
        <f>"00216215"</f>
        <v>00216215</v>
      </c>
      <c r="B1089" t="s">
        <v>2402</v>
      </c>
      <c r="C1089" t="s">
        <v>74</v>
      </c>
      <c r="D1089" t="s">
        <v>25</v>
      </c>
      <c r="E1089" t="s">
        <v>16</v>
      </c>
      <c r="F1089" t="s">
        <v>17</v>
      </c>
      <c r="G1089" t="str">
        <f>"02"</f>
        <v>02</v>
      </c>
      <c r="H1089" t="str">
        <f>"1  "</f>
        <v xml:space="preserve">1  </v>
      </c>
      <c r="I1089" t="str">
        <f>"2020/09/13"</f>
        <v>2020/09/13</v>
      </c>
      <c r="J1089" t="str">
        <f>"110"</f>
        <v>110</v>
      </c>
      <c r="K1089" t="str">
        <f>"20210217"</f>
        <v>20210217</v>
      </c>
      <c r="L1089" t="s">
        <v>18</v>
      </c>
      <c r="M1089" t="str">
        <f>"20200913"</f>
        <v>20200913</v>
      </c>
    </row>
    <row r="1090" spans="1:13" x14ac:dyDescent="0.25">
      <c r="A1090" t="str">
        <f>"00153997"</f>
        <v>00153997</v>
      </c>
      <c r="B1090" t="s">
        <v>2404</v>
      </c>
      <c r="C1090" t="s">
        <v>22</v>
      </c>
      <c r="D1090" t="s">
        <v>21</v>
      </c>
      <c r="E1090" t="s">
        <v>16</v>
      </c>
      <c r="F1090" t="s">
        <v>17</v>
      </c>
      <c r="G1090" t="str">
        <f>"02"</f>
        <v>02</v>
      </c>
      <c r="H1090" t="str">
        <f>"3  "</f>
        <v xml:space="preserve">3  </v>
      </c>
      <c r="I1090" t="str">
        <f>"2007/10/11"</f>
        <v>2007/10/11</v>
      </c>
      <c r="J1090" t="str">
        <f>"110"</f>
        <v>110</v>
      </c>
      <c r="K1090" t="str">
        <f>"20331116"</f>
        <v>20331116</v>
      </c>
      <c r="L1090" t="s">
        <v>18</v>
      </c>
      <c r="M1090" t="str">
        <f>"20061023"</f>
        <v>20061023</v>
      </c>
    </row>
    <row r="1091" spans="1:13" x14ac:dyDescent="0.25">
      <c r="A1091" t="str">
        <f>"00284607"</f>
        <v>00284607</v>
      </c>
      <c r="B1091" t="s">
        <v>2409</v>
      </c>
      <c r="C1091" t="s">
        <v>2410</v>
      </c>
      <c r="D1091" t="s">
        <v>25</v>
      </c>
      <c r="E1091" t="s">
        <v>26</v>
      </c>
      <c r="F1091" t="s">
        <v>17</v>
      </c>
      <c r="G1091" t="str">
        <f>"02"</f>
        <v>02</v>
      </c>
      <c r="H1091" t="str">
        <f>"3  "</f>
        <v xml:space="preserve">3  </v>
      </c>
      <c r="I1091" t="str">
        <f>"2016/03/03"</f>
        <v>2016/03/03</v>
      </c>
      <c r="J1091" t="str">
        <f>"503"</f>
        <v>503</v>
      </c>
      <c r="K1091" t="str">
        <f>"20250713"</f>
        <v>20250713</v>
      </c>
      <c r="L1091" t="s">
        <v>18</v>
      </c>
      <c r="M1091" t="str">
        <f>"20150430"</f>
        <v>20150430</v>
      </c>
    </row>
    <row r="1092" spans="1:13" x14ac:dyDescent="0.25">
      <c r="A1092" t="str">
        <f>"00687381"</f>
        <v>00687381</v>
      </c>
      <c r="B1092" t="s">
        <v>2411</v>
      </c>
      <c r="C1092" t="s">
        <v>124</v>
      </c>
      <c r="D1092" t="s">
        <v>456</v>
      </c>
      <c r="E1092" t="s">
        <v>16</v>
      </c>
      <c r="F1092" t="s">
        <v>17</v>
      </c>
      <c r="G1092" t="str">
        <f>"02"</f>
        <v>02</v>
      </c>
      <c r="H1092" t="str">
        <f>"3  "</f>
        <v xml:space="preserve">3  </v>
      </c>
      <c r="I1092" t="str">
        <f>"2019/09/25"</f>
        <v>2019/09/25</v>
      </c>
      <c r="J1092" t="str">
        <f>"510"</f>
        <v>510</v>
      </c>
      <c r="K1092" t="str">
        <f>"20250809"</f>
        <v>20250809</v>
      </c>
      <c r="L1092" t="s">
        <v>18</v>
      </c>
      <c r="M1092" t="str">
        <f>"20180530"</f>
        <v>20180530</v>
      </c>
    </row>
    <row r="1093" spans="1:13" x14ac:dyDescent="0.25">
      <c r="A1093" t="str">
        <f>"00283052"</f>
        <v>00283052</v>
      </c>
      <c r="B1093" t="s">
        <v>2415</v>
      </c>
      <c r="C1093" t="s">
        <v>22</v>
      </c>
      <c r="D1093" t="s">
        <v>31</v>
      </c>
      <c r="E1093" t="s">
        <v>16</v>
      </c>
      <c r="F1093" t="s">
        <v>17</v>
      </c>
      <c r="G1093" t="str">
        <f>"02"</f>
        <v>02</v>
      </c>
      <c r="H1093" t="str">
        <f>"3  "</f>
        <v xml:space="preserve">3  </v>
      </c>
      <c r="I1093" t="str">
        <f>"2017/11/22"</f>
        <v>2017/11/22</v>
      </c>
      <c r="J1093" t="str">
        <f>"120"</f>
        <v>120</v>
      </c>
      <c r="K1093" t="str">
        <f>"20210321"</f>
        <v>20210321</v>
      </c>
      <c r="L1093" t="s">
        <v>18</v>
      </c>
      <c r="M1093" t="str">
        <f>"20171108"</f>
        <v>20171108</v>
      </c>
    </row>
    <row r="1094" spans="1:13" x14ac:dyDescent="0.25">
      <c r="A1094" t="str">
        <f>"00293708"</f>
        <v>00293708</v>
      </c>
      <c r="B1094" t="s">
        <v>2416</v>
      </c>
      <c r="C1094" t="s">
        <v>938</v>
      </c>
      <c r="D1094" t="s">
        <v>25</v>
      </c>
      <c r="E1094" t="s">
        <v>26</v>
      </c>
      <c r="F1094" t="s">
        <v>17</v>
      </c>
      <c r="G1094" t="str">
        <f>"02"</f>
        <v>02</v>
      </c>
      <c r="H1094" t="str">
        <f>"3  "</f>
        <v xml:space="preserve">3  </v>
      </c>
      <c r="I1094" t="str">
        <f>"2015/08/21"</f>
        <v>2015/08/21</v>
      </c>
      <c r="J1094" t="str">
        <f>"510"</f>
        <v>510</v>
      </c>
      <c r="K1094" t="str">
        <f>"20511013"</f>
        <v>20511013</v>
      </c>
      <c r="L1094" t="s">
        <v>18</v>
      </c>
      <c r="M1094" t="str">
        <f>"20140216"</f>
        <v>20140216</v>
      </c>
    </row>
    <row r="1095" spans="1:13" x14ac:dyDescent="0.25">
      <c r="A1095" t="str">
        <f>"00182697"</f>
        <v>00182697</v>
      </c>
      <c r="B1095" t="s">
        <v>2417</v>
      </c>
      <c r="C1095" t="s">
        <v>1682</v>
      </c>
      <c r="D1095" t="s">
        <v>51</v>
      </c>
      <c r="E1095" t="s">
        <v>26</v>
      </c>
      <c r="F1095" t="s">
        <v>17</v>
      </c>
      <c r="G1095" t="str">
        <f>"02"</f>
        <v>02</v>
      </c>
      <c r="H1095" t="str">
        <f>"3  "</f>
        <v xml:space="preserve">3  </v>
      </c>
      <c r="I1095" t="str">
        <f>"2017/09/28"</f>
        <v>2017/09/28</v>
      </c>
      <c r="J1095" t="str">
        <f>"510"</f>
        <v>510</v>
      </c>
      <c r="K1095" t="str">
        <f>"20340212"</f>
        <v>20340212</v>
      </c>
      <c r="L1095" t="s">
        <v>18</v>
      </c>
      <c r="M1095" t="str">
        <f>"20160128"</f>
        <v>20160128</v>
      </c>
    </row>
    <row r="1096" spans="1:13" x14ac:dyDescent="0.25">
      <c r="A1096" t="str">
        <f>"00204659"</f>
        <v>00204659</v>
      </c>
      <c r="B1096" t="s">
        <v>2418</v>
      </c>
      <c r="C1096" t="s">
        <v>59</v>
      </c>
      <c r="D1096" t="s">
        <v>40</v>
      </c>
      <c r="E1096" t="s">
        <v>16</v>
      </c>
      <c r="F1096" t="s">
        <v>17</v>
      </c>
      <c r="G1096" t="str">
        <f>"02"</f>
        <v>02</v>
      </c>
      <c r="H1096" t="str">
        <f>"7  "</f>
        <v xml:space="preserve">7  </v>
      </c>
      <c r="I1096" t="str">
        <f>"1997/05/13"</f>
        <v>1997/05/13</v>
      </c>
      <c r="J1096" t="str">
        <f>"510"</f>
        <v>510</v>
      </c>
      <c r="K1096" t="str">
        <f>"20600829"</f>
        <v>20600829</v>
      </c>
      <c r="L1096" t="s">
        <v>18</v>
      </c>
      <c r="M1096" t="str">
        <f>"19951206"</f>
        <v>19951206</v>
      </c>
    </row>
    <row r="1097" spans="1:13" x14ac:dyDescent="0.25">
      <c r="A1097" t="str">
        <f>"00734147"</f>
        <v>00734147</v>
      </c>
      <c r="B1097" t="s">
        <v>2422</v>
      </c>
      <c r="C1097" t="s">
        <v>62</v>
      </c>
      <c r="D1097" t="s">
        <v>25</v>
      </c>
      <c r="E1097" t="s">
        <v>26</v>
      </c>
      <c r="F1097" t="s">
        <v>17</v>
      </c>
      <c r="G1097" t="str">
        <f>"02"</f>
        <v>02</v>
      </c>
      <c r="H1097" t="str">
        <f>"3  "</f>
        <v xml:space="preserve">3  </v>
      </c>
      <c r="I1097" t="str">
        <f>"2013/12/10"</f>
        <v>2013/12/10</v>
      </c>
      <c r="J1097" t="str">
        <f>"110"</f>
        <v>110</v>
      </c>
      <c r="K1097" t="str">
        <f>"20380916"</f>
        <v>20380916</v>
      </c>
      <c r="L1097" t="s">
        <v>18</v>
      </c>
      <c r="M1097" t="str">
        <f>"20130124"</f>
        <v>20130124</v>
      </c>
    </row>
    <row r="1098" spans="1:13" x14ac:dyDescent="0.25">
      <c r="A1098" t="str">
        <f>"00265211"</f>
        <v>00265211</v>
      </c>
      <c r="B1098" t="s">
        <v>2423</v>
      </c>
      <c r="C1098" t="s">
        <v>1819</v>
      </c>
      <c r="D1098" t="s">
        <v>26</v>
      </c>
      <c r="E1098" t="s">
        <v>26</v>
      </c>
      <c r="F1098" t="s">
        <v>17</v>
      </c>
      <c r="G1098" t="str">
        <f>"02"</f>
        <v>02</v>
      </c>
      <c r="H1098" t="str">
        <f>"4  "</f>
        <v xml:space="preserve">4  </v>
      </c>
      <c r="I1098" t="str">
        <f>"2001/02/05"</f>
        <v>2001/02/05</v>
      </c>
      <c r="J1098" t="str">
        <f>"510"</f>
        <v>510</v>
      </c>
      <c r="K1098" t="str">
        <f>"20300417"</f>
        <v>20300417</v>
      </c>
      <c r="L1098" t="s">
        <v>18</v>
      </c>
      <c r="M1098" t="str">
        <f>"19980113"</f>
        <v>19980113</v>
      </c>
    </row>
    <row r="1099" spans="1:13" x14ac:dyDescent="0.25">
      <c r="A1099" t="str">
        <f>"00546188"</f>
        <v>00546188</v>
      </c>
      <c r="B1099" t="s">
        <v>2426</v>
      </c>
      <c r="C1099" t="s">
        <v>2427</v>
      </c>
      <c r="D1099" t="s">
        <v>25</v>
      </c>
      <c r="E1099" t="s">
        <v>26</v>
      </c>
      <c r="F1099" t="s">
        <v>17</v>
      </c>
      <c r="G1099" t="str">
        <f>"02"</f>
        <v>02</v>
      </c>
      <c r="H1099" t="str">
        <f>"3  "</f>
        <v xml:space="preserve">3  </v>
      </c>
      <c r="I1099" t="str">
        <f>"2019/09/27"</f>
        <v>2019/09/27</v>
      </c>
      <c r="J1099" t="str">
        <f>"510"</f>
        <v>510</v>
      </c>
      <c r="K1099" t="str">
        <f>"20210129"</f>
        <v>20210129</v>
      </c>
      <c r="L1099" t="s">
        <v>18</v>
      </c>
      <c r="M1099" t="str">
        <f>"20190514"</f>
        <v>20190514</v>
      </c>
    </row>
    <row r="1100" spans="1:13" x14ac:dyDescent="0.25">
      <c r="A1100" t="str">
        <f>"00186221"</f>
        <v>00186221</v>
      </c>
      <c r="B1100" t="s">
        <v>2428</v>
      </c>
      <c r="C1100" t="s">
        <v>1289</v>
      </c>
      <c r="D1100" t="s">
        <v>37</v>
      </c>
      <c r="E1100" t="s">
        <v>16</v>
      </c>
      <c r="F1100" t="s">
        <v>17</v>
      </c>
      <c r="G1100" t="str">
        <f>"02"</f>
        <v>02</v>
      </c>
      <c r="H1100" t="str">
        <f>"3  "</f>
        <v xml:space="preserve">3  </v>
      </c>
      <c r="I1100" t="str">
        <f>"2020/08/05"</f>
        <v>2020/08/05</v>
      </c>
      <c r="J1100" t="str">
        <f>"533"</f>
        <v>533</v>
      </c>
      <c r="K1100" t="str">
        <f>"20720928"</f>
        <v>20720928</v>
      </c>
      <c r="L1100" t="s">
        <v>18</v>
      </c>
      <c r="M1100" t="str">
        <f>"20070812"</f>
        <v>20070812</v>
      </c>
    </row>
    <row r="1101" spans="1:13" x14ac:dyDescent="0.25">
      <c r="A1101" t="str">
        <f>"00168238"</f>
        <v>00168238</v>
      </c>
      <c r="B1101" t="s">
        <v>2429</v>
      </c>
      <c r="C1101" t="s">
        <v>2430</v>
      </c>
      <c r="D1101" t="s">
        <v>51</v>
      </c>
      <c r="E1101" t="s">
        <v>26</v>
      </c>
      <c r="F1101" t="s">
        <v>17</v>
      </c>
      <c r="G1101" t="str">
        <f>"02"</f>
        <v>02</v>
      </c>
      <c r="H1101" t="str">
        <f>"3  "</f>
        <v xml:space="preserve">3  </v>
      </c>
      <c r="I1101" t="str">
        <f>"2005/08/25"</f>
        <v>2005/08/25</v>
      </c>
      <c r="J1101" t="str">
        <f>"110"</f>
        <v>110</v>
      </c>
      <c r="K1101" t="str">
        <f>"20350731"</f>
        <v>20350731</v>
      </c>
      <c r="L1101" t="s">
        <v>18</v>
      </c>
      <c r="M1101" t="str">
        <f>"20041114"</f>
        <v>20041114</v>
      </c>
    </row>
    <row r="1102" spans="1:13" x14ac:dyDescent="0.25">
      <c r="A1102" t="str">
        <f>"00338485"</f>
        <v>00338485</v>
      </c>
      <c r="B1102" t="s">
        <v>2435</v>
      </c>
      <c r="C1102" t="s">
        <v>74</v>
      </c>
      <c r="D1102" t="s">
        <v>80</v>
      </c>
      <c r="E1102" t="s">
        <v>26</v>
      </c>
      <c r="F1102" t="s">
        <v>17</v>
      </c>
      <c r="G1102" t="str">
        <f>"02"</f>
        <v>02</v>
      </c>
      <c r="H1102" t="str">
        <f>"7  "</f>
        <v xml:space="preserve">7  </v>
      </c>
      <c r="I1102" t="str">
        <f>"2006/02/03"</f>
        <v>2006/02/03</v>
      </c>
      <c r="J1102" t="str">
        <f>"110"</f>
        <v>110</v>
      </c>
      <c r="K1102" t="s">
        <v>18</v>
      </c>
      <c r="L1102" t="s">
        <v>18</v>
      </c>
      <c r="M1102" t="str">
        <f>"19951113"</f>
        <v>19951113</v>
      </c>
    </row>
    <row r="1103" spans="1:13" x14ac:dyDescent="0.25">
      <c r="A1103" t="str">
        <f>"00237255"</f>
        <v>00237255</v>
      </c>
      <c r="B1103" t="s">
        <v>2436</v>
      </c>
      <c r="C1103" t="s">
        <v>288</v>
      </c>
      <c r="D1103" t="s">
        <v>456</v>
      </c>
      <c r="E1103" t="s">
        <v>26</v>
      </c>
      <c r="F1103" t="s">
        <v>17</v>
      </c>
      <c r="G1103" t="str">
        <f>"02"</f>
        <v>02</v>
      </c>
      <c r="H1103" t="str">
        <f>"3  "</f>
        <v xml:space="preserve">3  </v>
      </c>
      <c r="I1103" t="str">
        <f>"2011/11/05"</f>
        <v>2011/11/05</v>
      </c>
      <c r="J1103" t="str">
        <f>"110"</f>
        <v>110</v>
      </c>
      <c r="K1103" t="str">
        <f>"20241122"</f>
        <v>20241122</v>
      </c>
      <c r="L1103" t="s">
        <v>18</v>
      </c>
      <c r="M1103" t="str">
        <f>"20110420"</f>
        <v>20110420</v>
      </c>
    </row>
    <row r="1104" spans="1:13" x14ac:dyDescent="0.25">
      <c r="A1104" t="str">
        <f>"00324348"</f>
        <v>00324348</v>
      </c>
      <c r="B1104" t="s">
        <v>2443</v>
      </c>
      <c r="C1104" t="s">
        <v>2444</v>
      </c>
      <c r="D1104" t="s">
        <v>51</v>
      </c>
      <c r="E1104" t="s">
        <v>26</v>
      </c>
      <c r="F1104" t="s">
        <v>17</v>
      </c>
      <c r="G1104" t="str">
        <f>"02"</f>
        <v>02</v>
      </c>
      <c r="H1104" t="str">
        <f>"3  "</f>
        <v xml:space="preserve">3  </v>
      </c>
      <c r="I1104" t="str">
        <f>"2020/07/04"</f>
        <v>2020/07/04</v>
      </c>
      <c r="J1104" t="str">
        <f>"503"</f>
        <v>503</v>
      </c>
      <c r="K1104" t="str">
        <f>"20350417"</f>
        <v>20350417</v>
      </c>
      <c r="L1104" t="s">
        <v>18</v>
      </c>
      <c r="M1104" t="str">
        <f>"20020206"</f>
        <v>20020206</v>
      </c>
    </row>
    <row r="1105" spans="1:13" x14ac:dyDescent="0.25">
      <c r="A1105" t="str">
        <f>"00332040"</f>
        <v>00332040</v>
      </c>
      <c r="B1105" t="s">
        <v>2443</v>
      </c>
      <c r="C1105" t="s">
        <v>1527</v>
      </c>
      <c r="D1105" t="s">
        <v>37</v>
      </c>
      <c r="E1105" t="s">
        <v>26</v>
      </c>
      <c r="F1105" t="s">
        <v>17</v>
      </c>
      <c r="G1105" t="str">
        <f>"02"</f>
        <v>02</v>
      </c>
      <c r="H1105" t="str">
        <f>"3  "</f>
        <v xml:space="preserve">3  </v>
      </c>
      <c r="I1105" t="str">
        <f>"2019/05/30"</f>
        <v>2019/05/30</v>
      </c>
      <c r="J1105" t="str">
        <f>"533"</f>
        <v>533</v>
      </c>
      <c r="K1105" t="str">
        <f>"20370124"</f>
        <v>20370124</v>
      </c>
      <c r="L1105" t="s">
        <v>18</v>
      </c>
      <c r="M1105" t="str">
        <f>"20160519"</f>
        <v>20160519</v>
      </c>
    </row>
    <row r="1106" spans="1:13" x14ac:dyDescent="0.25">
      <c r="A1106" t="str">
        <f>"00284684"</f>
        <v>00284684</v>
      </c>
      <c r="B1106" t="s">
        <v>2445</v>
      </c>
      <c r="C1106" t="s">
        <v>96</v>
      </c>
      <c r="D1106" t="s">
        <v>15</v>
      </c>
      <c r="E1106" t="s">
        <v>26</v>
      </c>
      <c r="F1106" t="s">
        <v>17</v>
      </c>
      <c r="G1106" t="str">
        <f>"02"</f>
        <v>02</v>
      </c>
      <c r="H1106" t="str">
        <f>"7  "</f>
        <v xml:space="preserve">7  </v>
      </c>
      <c r="I1106" t="str">
        <f>"1993/08/31"</f>
        <v>1993/08/31</v>
      </c>
      <c r="J1106" t="str">
        <f>"114"</f>
        <v>114</v>
      </c>
      <c r="K1106" t="s">
        <v>18</v>
      </c>
      <c r="L1106" t="s">
        <v>18</v>
      </c>
      <c r="M1106" t="str">
        <f>"19920928"</f>
        <v>19920928</v>
      </c>
    </row>
    <row r="1107" spans="1:13" x14ac:dyDescent="0.25">
      <c r="A1107" t="str">
        <f>"00186518"</f>
        <v>00186518</v>
      </c>
      <c r="B1107" t="s">
        <v>2452</v>
      </c>
      <c r="C1107" t="s">
        <v>878</v>
      </c>
      <c r="D1107" t="s">
        <v>15</v>
      </c>
      <c r="E1107" t="s">
        <v>16</v>
      </c>
      <c r="F1107" t="s">
        <v>17</v>
      </c>
      <c r="G1107" t="str">
        <f>"02"</f>
        <v>02</v>
      </c>
      <c r="H1107" t="str">
        <f>"3  "</f>
        <v xml:space="preserve">3  </v>
      </c>
      <c r="I1107" t="str">
        <f>"2004/01/15"</f>
        <v>2004/01/15</v>
      </c>
      <c r="J1107" t="str">
        <f>"503"</f>
        <v>503</v>
      </c>
      <c r="K1107" t="str">
        <f>"20220306"</f>
        <v>20220306</v>
      </c>
      <c r="L1107" t="s">
        <v>18</v>
      </c>
      <c r="M1107" t="str">
        <f>"20030714"</f>
        <v>20030714</v>
      </c>
    </row>
    <row r="1108" spans="1:13" x14ac:dyDescent="0.25">
      <c r="A1108" t="str">
        <f>"00690514"</f>
        <v>00690514</v>
      </c>
      <c r="B1108" t="s">
        <v>2456</v>
      </c>
      <c r="C1108" t="s">
        <v>2457</v>
      </c>
      <c r="D1108" t="s">
        <v>16</v>
      </c>
      <c r="E1108" t="s">
        <v>16</v>
      </c>
      <c r="F1108" t="s">
        <v>17</v>
      </c>
      <c r="G1108" t="str">
        <f>"02"</f>
        <v>02</v>
      </c>
      <c r="H1108" t="str">
        <f>"3  "</f>
        <v xml:space="preserve">3  </v>
      </c>
      <c r="I1108" t="str">
        <f>"2020/09/16"</f>
        <v>2020/09/16</v>
      </c>
      <c r="J1108" t="str">
        <f>"533"</f>
        <v>533</v>
      </c>
      <c r="K1108" t="str">
        <f>"20250402"</f>
        <v>20250402</v>
      </c>
      <c r="L1108" t="s">
        <v>18</v>
      </c>
      <c r="M1108" t="str">
        <f>"20160603"</f>
        <v>20160603</v>
      </c>
    </row>
    <row r="1109" spans="1:13" x14ac:dyDescent="0.25">
      <c r="A1109" t="str">
        <f>"00701464"</f>
        <v>00701464</v>
      </c>
      <c r="B1109" t="s">
        <v>2465</v>
      </c>
      <c r="C1109" t="s">
        <v>2466</v>
      </c>
      <c r="D1109" t="s">
        <v>25</v>
      </c>
      <c r="E1109" t="s">
        <v>26</v>
      </c>
      <c r="F1109" t="s">
        <v>17</v>
      </c>
      <c r="G1109" t="str">
        <f>"02"</f>
        <v>02</v>
      </c>
      <c r="H1109" t="str">
        <f>"3  "</f>
        <v xml:space="preserve">3  </v>
      </c>
      <c r="I1109" t="str">
        <f>"2017/05/01"</f>
        <v>2017/05/01</v>
      </c>
      <c r="J1109" t="str">
        <f>"110"</f>
        <v>110</v>
      </c>
      <c r="K1109" t="str">
        <f>"20210608"</f>
        <v>20210608</v>
      </c>
      <c r="L1109" t="s">
        <v>18</v>
      </c>
      <c r="M1109" t="str">
        <f>"20170116"</f>
        <v>20170116</v>
      </c>
    </row>
    <row r="1110" spans="1:13" x14ac:dyDescent="0.25">
      <c r="A1110" t="str">
        <f>"00784179"</f>
        <v>00784179</v>
      </c>
      <c r="B1110" t="s">
        <v>2465</v>
      </c>
      <c r="C1110" t="s">
        <v>1696</v>
      </c>
      <c r="D1110" t="s">
        <v>26</v>
      </c>
      <c r="E1110" t="s">
        <v>16</v>
      </c>
      <c r="F1110" t="s">
        <v>17</v>
      </c>
      <c r="G1110" t="str">
        <f>"02"</f>
        <v>02</v>
      </c>
      <c r="H1110" t="str">
        <f>"7  "</f>
        <v xml:space="preserve">7  </v>
      </c>
      <c r="I1110" t="str">
        <f>"2015/05/21"</f>
        <v>2015/05/21</v>
      </c>
      <c r="J1110" t="str">
        <f>"503"</f>
        <v>503</v>
      </c>
      <c r="K1110" t="s">
        <v>18</v>
      </c>
      <c r="L1110" t="s">
        <v>18</v>
      </c>
      <c r="M1110" t="str">
        <f>"20010601"</f>
        <v>20010601</v>
      </c>
    </row>
    <row r="1111" spans="1:13" x14ac:dyDescent="0.25">
      <c r="A1111" t="str">
        <f>"00166813"</f>
        <v>00166813</v>
      </c>
      <c r="B1111" t="s">
        <v>2465</v>
      </c>
      <c r="C1111" t="s">
        <v>802</v>
      </c>
      <c r="D1111" t="s">
        <v>51</v>
      </c>
      <c r="E1111" t="s">
        <v>26</v>
      </c>
      <c r="F1111" t="s">
        <v>17</v>
      </c>
      <c r="G1111" t="str">
        <f>"02"</f>
        <v>02</v>
      </c>
      <c r="H1111" t="str">
        <f>"3  "</f>
        <v xml:space="preserve">3  </v>
      </c>
      <c r="I1111" t="str">
        <f>"2020/09/02"</f>
        <v>2020/09/02</v>
      </c>
      <c r="J1111" t="str">
        <f>"533"</f>
        <v>533</v>
      </c>
      <c r="K1111" t="str">
        <f>"20350131"</f>
        <v>20350131</v>
      </c>
      <c r="L1111" t="s">
        <v>18</v>
      </c>
      <c r="M1111" t="str">
        <f>"19900702"</f>
        <v>19900702</v>
      </c>
    </row>
    <row r="1112" spans="1:13" x14ac:dyDescent="0.25">
      <c r="A1112" t="str">
        <f>"00392257"</f>
        <v>00392257</v>
      </c>
      <c r="B1112" t="s">
        <v>2465</v>
      </c>
      <c r="C1112" t="s">
        <v>353</v>
      </c>
      <c r="D1112" t="s">
        <v>25</v>
      </c>
      <c r="E1112" t="s">
        <v>26</v>
      </c>
      <c r="F1112" t="s">
        <v>17</v>
      </c>
      <c r="G1112" t="str">
        <f>"02"</f>
        <v>02</v>
      </c>
      <c r="H1112" t="str">
        <f>"3  "</f>
        <v xml:space="preserve">3  </v>
      </c>
      <c r="I1112" t="str">
        <f>"2016/08/25"</f>
        <v>2016/08/25</v>
      </c>
      <c r="J1112" t="str">
        <f>"510"</f>
        <v>510</v>
      </c>
      <c r="K1112" t="str">
        <f>"20231020"</f>
        <v>20231020</v>
      </c>
      <c r="L1112" t="s">
        <v>18</v>
      </c>
      <c r="M1112" t="str">
        <f>"20130505"</f>
        <v>20130505</v>
      </c>
    </row>
    <row r="1113" spans="1:13" x14ac:dyDescent="0.25">
      <c r="A1113" t="str">
        <f>"00193636"</f>
        <v>00193636</v>
      </c>
      <c r="B1113" t="s">
        <v>2465</v>
      </c>
      <c r="C1113" t="s">
        <v>74</v>
      </c>
      <c r="D1113" t="s">
        <v>15</v>
      </c>
      <c r="E1113" t="s">
        <v>26</v>
      </c>
      <c r="F1113" t="s">
        <v>17</v>
      </c>
      <c r="G1113" t="str">
        <f>"02"</f>
        <v>02</v>
      </c>
      <c r="H1113" t="str">
        <f>"7  "</f>
        <v xml:space="preserve">7  </v>
      </c>
      <c r="I1113" t="str">
        <f>"2007/06/04"</f>
        <v>2007/06/04</v>
      </c>
      <c r="J1113" t="str">
        <f>"531"</f>
        <v>531</v>
      </c>
      <c r="K1113" t="s">
        <v>18</v>
      </c>
      <c r="L1113" t="str">
        <f>"20230507"</f>
        <v>20230507</v>
      </c>
      <c r="M1113" t="str">
        <f>"19850314"</f>
        <v>19850314</v>
      </c>
    </row>
    <row r="1114" spans="1:13" x14ac:dyDescent="0.25">
      <c r="A1114" t="str">
        <f>"00466044"</f>
        <v>00466044</v>
      </c>
      <c r="B1114" t="s">
        <v>2465</v>
      </c>
      <c r="C1114" t="s">
        <v>60</v>
      </c>
      <c r="D1114" t="s">
        <v>61</v>
      </c>
      <c r="E1114" t="s">
        <v>16</v>
      </c>
      <c r="F1114" t="s">
        <v>17</v>
      </c>
      <c r="G1114" t="str">
        <f>"02"</f>
        <v>02</v>
      </c>
      <c r="H1114" t="str">
        <f>"3  "</f>
        <v xml:space="preserve">3  </v>
      </c>
      <c r="I1114" t="str">
        <f>"2020/09/16"</f>
        <v>2020/09/16</v>
      </c>
      <c r="J1114" t="str">
        <f>"533"</f>
        <v>533</v>
      </c>
      <c r="K1114" t="str">
        <f>"20251207"</f>
        <v>20251207</v>
      </c>
      <c r="L1114" t="s">
        <v>18</v>
      </c>
      <c r="M1114" t="str">
        <f>"20130603"</f>
        <v>20130603</v>
      </c>
    </row>
    <row r="1115" spans="1:13" x14ac:dyDescent="0.25">
      <c r="A1115" t="str">
        <f>"00207597"</f>
        <v>00207597</v>
      </c>
      <c r="B1115" t="s">
        <v>2470</v>
      </c>
      <c r="C1115" t="s">
        <v>906</v>
      </c>
      <c r="D1115" t="s">
        <v>26</v>
      </c>
      <c r="E1115" t="s">
        <v>16</v>
      </c>
      <c r="F1115" t="s">
        <v>17</v>
      </c>
      <c r="G1115" t="str">
        <f>"02"</f>
        <v>02</v>
      </c>
      <c r="H1115" t="str">
        <f>"7  "</f>
        <v xml:space="preserve">7  </v>
      </c>
      <c r="I1115" t="str">
        <f>"2001/01/24"</f>
        <v>2001/01/24</v>
      </c>
      <c r="J1115" t="str">
        <f>"533"</f>
        <v>533</v>
      </c>
      <c r="K1115" t="s">
        <v>18</v>
      </c>
      <c r="L1115" t="s">
        <v>18</v>
      </c>
      <c r="M1115" t="str">
        <f>"19931218"</f>
        <v>19931218</v>
      </c>
    </row>
    <row r="1116" spans="1:13" x14ac:dyDescent="0.25">
      <c r="A1116" t="str">
        <f>"00452236"</f>
        <v>00452236</v>
      </c>
      <c r="B1116" t="s">
        <v>2470</v>
      </c>
      <c r="C1116" t="s">
        <v>2472</v>
      </c>
      <c r="D1116" t="s">
        <v>25</v>
      </c>
      <c r="E1116" t="s">
        <v>16</v>
      </c>
      <c r="F1116" t="s">
        <v>17</v>
      </c>
      <c r="G1116" t="str">
        <f>"02"</f>
        <v>02</v>
      </c>
      <c r="H1116" t="str">
        <f>"3  "</f>
        <v xml:space="preserve">3  </v>
      </c>
      <c r="I1116" t="str">
        <f>"2020/03/06"</f>
        <v>2020/03/06</v>
      </c>
      <c r="J1116" t="str">
        <f>"503"</f>
        <v>503</v>
      </c>
      <c r="K1116" t="str">
        <f>"20250711"</f>
        <v>20250711</v>
      </c>
      <c r="L1116" t="s">
        <v>18</v>
      </c>
      <c r="M1116" t="str">
        <f>"20190403"</f>
        <v>20190403</v>
      </c>
    </row>
    <row r="1117" spans="1:13" x14ac:dyDescent="0.25">
      <c r="A1117" t="str">
        <f>"00115806"</f>
        <v>00115806</v>
      </c>
      <c r="B1117" t="s">
        <v>2475</v>
      </c>
      <c r="C1117" t="s">
        <v>248</v>
      </c>
      <c r="D1117" t="s">
        <v>21</v>
      </c>
      <c r="E1117" t="s">
        <v>16</v>
      </c>
      <c r="F1117" t="s">
        <v>17</v>
      </c>
      <c r="G1117" t="str">
        <f>"02"</f>
        <v>02</v>
      </c>
      <c r="H1117" t="str">
        <f>"7  "</f>
        <v xml:space="preserve">7  </v>
      </c>
      <c r="I1117" t="str">
        <f>"2006/10/11"</f>
        <v>2006/10/11</v>
      </c>
      <c r="J1117" t="str">
        <f>"110"</f>
        <v>110</v>
      </c>
      <c r="K1117" t="s">
        <v>18</v>
      </c>
      <c r="L1117" t="s">
        <v>18</v>
      </c>
      <c r="M1117" t="str">
        <f>"20060117"</f>
        <v>20060117</v>
      </c>
    </row>
    <row r="1118" spans="1:13" x14ac:dyDescent="0.25">
      <c r="A1118" t="str">
        <f>"00286244"</f>
        <v>00286244</v>
      </c>
      <c r="B1118" t="s">
        <v>2476</v>
      </c>
      <c r="C1118" t="s">
        <v>288</v>
      </c>
      <c r="D1118" t="s">
        <v>40</v>
      </c>
      <c r="E1118" t="s">
        <v>16</v>
      </c>
      <c r="F1118" t="s">
        <v>17</v>
      </c>
      <c r="G1118" t="str">
        <f>"02"</f>
        <v>02</v>
      </c>
      <c r="H1118" t="str">
        <f>"3  "</f>
        <v xml:space="preserve">3  </v>
      </c>
      <c r="I1118" t="str">
        <f>"2001/07/20"</f>
        <v>2001/07/20</v>
      </c>
      <c r="J1118" t="str">
        <f>"502"</f>
        <v>502</v>
      </c>
      <c r="K1118" t="str">
        <f>"20370416"</f>
        <v>20370416</v>
      </c>
      <c r="L1118" t="s">
        <v>18</v>
      </c>
      <c r="M1118" t="str">
        <f>"19940624"</f>
        <v>19940624</v>
      </c>
    </row>
    <row r="1119" spans="1:13" x14ac:dyDescent="0.25">
      <c r="A1119" t="str">
        <f>"00076266"</f>
        <v>00076266</v>
      </c>
      <c r="B1119" t="s">
        <v>2479</v>
      </c>
      <c r="C1119" t="s">
        <v>22</v>
      </c>
      <c r="D1119" t="s">
        <v>91</v>
      </c>
      <c r="E1119" t="s">
        <v>16</v>
      </c>
      <c r="F1119" t="s">
        <v>17</v>
      </c>
      <c r="G1119" t="str">
        <f>"02"</f>
        <v>02</v>
      </c>
      <c r="H1119" t="str">
        <f>"7  "</f>
        <v xml:space="preserve">7  </v>
      </c>
      <c r="I1119" t="str">
        <f>"2020/07/08"</f>
        <v>2020/07/08</v>
      </c>
      <c r="J1119" t="str">
        <f>"503"</f>
        <v>503</v>
      </c>
      <c r="K1119" t="s">
        <v>18</v>
      </c>
      <c r="L1119" t="s">
        <v>18</v>
      </c>
      <c r="M1119" t="str">
        <f>"19771115"</f>
        <v>19771115</v>
      </c>
    </row>
    <row r="1120" spans="1:13" x14ac:dyDescent="0.25">
      <c r="A1120" t="str">
        <f>"00385033"</f>
        <v>00385033</v>
      </c>
      <c r="B1120" t="s">
        <v>2485</v>
      </c>
      <c r="C1120" t="s">
        <v>1326</v>
      </c>
      <c r="D1120" t="s">
        <v>25</v>
      </c>
      <c r="E1120" t="s">
        <v>26</v>
      </c>
      <c r="F1120" t="s">
        <v>17</v>
      </c>
      <c r="G1120" t="str">
        <f>"02"</f>
        <v>02</v>
      </c>
      <c r="H1120" t="str">
        <f>"3  "</f>
        <v xml:space="preserve">3  </v>
      </c>
      <c r="I1120" t="str">
        <f>"2006/07/03"</f>
        <v>2006/07/03</v>
      </c>
      <c r="J1120" t="str">
        <f>"510"</f>
        <v>510</v>
      </c>
      <c r="K1120" t="str">
        <f>"20251231"</f>
        <v>20251231</v>
      </c>
      <c r="L1120" t="s">
        <v>18</v>
      </c>
      <c r="M1120" t="str">
        <f>"20040614"</f>
        <v>20040614</v>
      </c>
    </row>
    <row r="1121" spans="1:13" x14ac:dyDescent="0.25">
      <c r="A1121" t="str">
        <f>"00582537"</f>
        <v>00582537</v>
      </c>
      <c r="B1121" t="s">
        <v>2487</v>
      </c>
      <c r="C1121" t="s">
        <v>2488</v>
      </c>
      <c r="D1121" t="s">
        <v>25</v>
      </c>
      <c r="E1121" t="s">
        <v>26</v>
      </c>
      <c r="F1121" t="s">
        <v>17</v>
      </c>
      <c r="G1121" t="str">
        <f>"02"</f>
        <v>02</v>
      </c>
      <c r="H1121" t="str">
        <f>"3  "</f>
        <v xml:space="preserve">3  </v>
      </c>
      <c r="I1121" t="str">
        <f>"2007/01/23"</f>
        <v>2007/01/23</v>
      </c>
      <c r="J1121" t="str">
        <f>"510"</f>
        <v>510</v>
      </c>
      <c r="K1121" t="str">
        <f>"20301118"</f>
        <v>20301118</v>
      </c>
      <c r="L1121" t="s">
        <v>18</v>
      </c>
      <c r="M1121" t="str">
        <f>"20050909"</f>
        <v>20050909</v>
      </c>
    </row>
    <row r="1122" spans="1:13" x14ac:dyDescent="0.25">
      <c r="A1122" t="str">
        <f>"00254432"</f>
        <v>00254432</v>
      </c>
      <c r="B1122" t="s">
        <v>2489</v>
      </c>
      <c r="C1122" t="s">
        <v>96</v>
      </c>
      <c r="D1122" t="s">
        <v>142</v>
      </c>
      <c r="E1122" t="s">
        <v>16</v>
      </c>
      <c r="F1122" t="s">
        <v>17</v>
      </c>
      <c r="G1122" t="str">
        <f>"02"</f>
        <v>02</v>
      </c>
      <c r="H1122" t="str">
        <f>"3  "</f>
        <v xml:space="preserve">3  </v>
      </c>
      <c r="I1122" t="str">
        <f>"2015/06/12"</f>
        <v>2015/06/12</v>
      </c>
      <c r="J1122" t="str">
        <f>"534"</f>
        <v>534</v>
      </c>
      <c r="K1122" t="str">
        <f>"20330811"</f>
        <v>20330811</v>
      </c>
      <c r="L1122" t="s">
        <v>18</v>
      </c>
      <c r="M1122" t="str">
        <f>"20100301"</f>
        <v>20100301</v>
      </c>
    </row>
    <row r="1123" spans="1:13" x14ac:dyDescent="0.25">
      <c r="A1123" t="str">
        <f>"00587420"</f>
        <v>00587420</v>
      </c>
      <c r="B1123" t="s">
        <v>2490</v>
      </c>
      <c r="C1123" t="s">
        <v>2491</v>
      </c>
      <c r="D1123" t="s">
        <v>25</v>
      </c>
      <c r="E1123" t="s">
        <v>26</v>
      </c>
      <c r="F1123" t="s">
        <v>17</v>
      </c>
      <c r="G1123" t="str">
        <f>"02"</f>
        <v>02</v>
      </c>
      <c r="H1123" t="str">
        <f>"3  "</f>
        <v xml:space="preserve">3  </v>
      </c>
      <c r="I1123" t="str">
        <f>"2017/08/28"</f>
        <v>2017/08/28</v>
      </c>
      <c r="J1123" t="str">
        <f>"503"</f>
        <v>503</v>
      </c>
      <c r="K1123" t="str">
        <f>"20270626"</f>
        <v>20270626</v>
      </c>
      <c r="L1123" t="s">
        <v>18</v>
      </c>
      <c r="M1123" t="str">
        <f>"20170207"</f>
        <v>20170207</v>
      </c>
    </row>
    <row r="1124" spans="1:13" x14ac:dyDescent="0.25">
      <c r="A1124" t="str">
        <f>"00220200"</f>
        <v>00220200</v>
      </c>
      <c r="B1124" t="s">
        <v>2494</v>
      </c>
      <c r="C1124" t="s">
        <v>44</v>
      </c>
      <c r="D1124" t="s">
        <v>51</v>
      </c>
      <c r="E1124" t="s">
        <v>26</v>
      </c>
      <c r="F1124" t="s">
        <v>17</v>
      </c>
      <c r="G1124" t="str">
        <f>"02"</f>
        <v>02</v>
      </c>
      <c r="H1124" t="str">
        <f>"3  "</f>
        <v xml:space="preserve">3  </v>
      </c>
      <c r="I1124" t="str">
        <f>"2015/05/21"</f>
        <v>2015/05/21</v>
      </c>
      <c r="J1124" t="str">
        <f>"510"</f>
        <v>510</v>
      </c>
      <c r="K1124" t="str">
        <f>"20300525"</f>
        <v>20300525</v>
      </c>
      <c r="L1124" t="s">
        <v>18</v>
      </c>
      <c r="M1124" t="str">
        <f>"20140428"</f>
        <v>20140428</v>
      </c>
    </row>
    <row r="1125" spans="1:13" x14ac:dyDescent="0.25">
      <c r="A1125" t="str">
        <f>"00226295"</f>
        <v>00226295</v>
      </c>
      <c r="B1125" t="s">
        <v>2494</v>
      </c>
      <c r="C1125" t="s">
        <v>136</v>
      </c>
      <c r="D1125" t="s">
        <v>51</v>
      </c>
      <c r="E1125" t="s">
        <v>26</v>
      </c>
      <c r="F1125" t="s">
        <v>17</v>
      </c>
      <c r="G1125" t="str">
        <f>"02"</f>
        <v>02</v>
      </c>
      <c r="H1125" t="str">
        <f>"3  "</f>
        <v xml:space="preserve">3  </v>
      </c>
      <c r="I1125" t="str">
        <f>"2013/01/15"</f>
        <v>2013/01/15</v>
      </c>
      <c r="J1125" t="str">
        <f>"510"</f>
        <v>510</v>
      </c>
      <c r="K1125" t="str">
        <f>"20231031"</f>
        <v>20231031</v>
      </c>
      <c r="L1125" t="s">
        <v>18</v>
      </c>
      <c r="M1125" t="str">
        <f>"20110419"</f>
        <v>20110419</v>
      </c>
    </row>
    <row r="1126" spans="1:13" x14ac:dyDescent="0.25">
      <c r="A1126" t="str">
        <f>"00617849"</f>
        <v>00617849</v>
      </c>
      <c r="B1126" t="s">
        <v>2494</v>
      </c>
      <c r="C1126" t="s">
        <v>409</v>
      </c>
      <c r="D1126" t="s">
        <v>15</v>
      </c>
      <c r="E1126" t="s">
        <v>26</v>
      </c>
      <c r="F1126" t="s">
        <v>17</v>
      </c>
      <c r="G1126" t="str">
        <f>"02"</f>
        <v>02</v>
      </c>
      <c r="H1126" t="str">
        <f>"7  "</f>
        <v xml:space="preserve">7  </v>
      </c>
      <c r="I1126" t="str">
        <f>"2019/07/22"</f>
        <v>2019/07/22</v>
      </c>
      <c r="J1126" t="str">
        <f>"510"</f>
        <v>510</v>
      </c>
      <c r="K1126" t="s">
        <v>18</v>
      </c>
      <c r="L1126" t="s">
        <v>18</v>
      </c>
      <c r="M1126" t="str">
        <f>"20180508"</f>
        <v>20180508</v>
      </c>
    </row>
    <row r="1127" spans="1:13" x14ac:dyDescent="0.25">
      <c r="A1127" t="str">
        <f>"00662083"</f>
        <v>00662083</v>
      </c>
      <c r="B1127" t="s">
        <v>2494</v>
      </c>
      <c r="C1127" t="s">
        <v>2496</v>
      </c>
      <c r="D1127" t="s">
        <v>53</v>
      </c>
      <c r="E1127" t="s">
        <v>26</v>
      </c>
      <c r="F1127" t="s">
        <v>17</v>
      </c>
      <c r="G1127" t="str">
        <f>"02"</f>
        <v>02</v>
      </c>
      <c r="H1127" t="str">
        <f>"3  "</f>
        <v xml:space="preserve">3  </v>
      </c>
      <c r="I1127" t="str">
        <f>"2013/06/13"</f>
        <v>2013/06/13</v>
      </c>
      <c r="J1127" t="str">
        <f>"110"</f>
        <v>110</v>
      </c>
      <c r="K1127" t="str">
        <f>"20420611"</f>
        <v>20420611</v>
      </c>
      <c r="L1127" t="s">
        <v>18</v>
      </c>
      <c r="M1127" t="str">
        <f>"20120917"</f>
        <v>20120917</v>
      </c>
    </row>
    <row r="1128" spans="1:13" x14ac:dyDescent="0.25">
      <c r="A1128" t="str">
        <f>"00589287"</f>
        <v>00589287</v>
      </c>
      <c r="B1128" t="s">
        <v>2494</v>
      </c>
      <c r="C1128" t="s">
        <v>169</v>
      </c>
      <c r="D1128" t="s">
        <v>53</v>
      </c>
      <c r="E1128" t="s">
        <v>26</v>
      </c>
      <c r="F1128" t="s">
        <v>17</v>
      </c>
      <c r="G1128" t="str">
        <f>"02"</f>
        <v>02</v>
      </c>
      <c r="H1128" t="str">
        <f>"3  "</f>
        <v xml:space="preserve">3  </v>
      </c>
      <c r="I1128" t="str">
        <f>"2019/12/27"</f>
        <v>2019/12/27</v>
      </c>
      <c r="J1128" t="str">
        <f>"503"</f>
        <v>503</v>
      </c>
      <c r="K1128" t="str">
        <f>"20221102"</f>
        <v>20221102</v>
      </c>
      <c r="L1128" t="s">
        <v>18</v>
      </c>
      <c r="M1128" t="str">
        <f>"20190328"</f>
        <v>20190328</v>
      </c>
    </row>
    <row r="1129" spans="1:13" x14ac:dyDescent="0.25">
      <c r="A1129" t="str">
        <f>"00162998"</f>
        <v>00162998</v>
      </c>
      <c r="B1129" t="s">
        <v>2494</v>
      </c>
      <c r="C1129" t="s">
        <v>1698</v>
      </c>
      <c r="D1129" t="s">
        <v>51</v>
      </c>
      <c r="E1129" t="s">
        <v>26</v>
      </c>
      <c r="F1129" t="s">
        <v>17</v>
      </c>
      <c r="G1129" t="str">
        <f>"02"</f>
        <v>02</v>
      </c>
      <c r="H1129" t="str">
        <f>"3  "</f>
        <v xml:space="preserve">3  </v>
      </c>
      <c r="I1129" t="str">
        <f>"2005/06/22"</f>
        <v>2005/06/22</v>
      </c>
      <c r="J1129" t="str">
        <f>"110"</f>
        <v>110</v>
      </c>
      <c r="K1129" t="str">
        <f>"20440213"</f>
        <v>20440213</v>
      </c>
      <c r="L1129" t="s">
        <v>18</v>
      </c>
      <c r="M1129" t="str">
        <f>"20031011"</f>
        <v>20031011</v>
      </c>
    </row>
    <row r="1130" spans="1:13" x14ac:dyDescent="0.25">
      <c r="A1130" t="str">
        <f>"00646319"</f>
        <v>00646319</v>
      </c>
      <c r="B1130" t="s">
        <v>2501</v>
      </c>
      <c r="C1130" t="s">
        <v>358</v>
      </c>
      <c r="D1130" t="s">
        <v>25</v>
      </c>
      <c r="E1130" t="s">
        <v>26</v>
      </c>
      <c r="F1130" t="s">
        <v>17</v>
      </c>
      <c r="G1130" t="str">
        <f>"02"</f>
        <v>02</v>
      </c>
      <c r="H1130" t="str">
        <f>"3  "</f>
        <v xml:space="preserve">3  </v>
      </c>
      <c r="I1130" t="str">
        <f>"2020/02/13"</f>
        <v>2020/02/13</v>
      </c>
      <c r="J1130" t="str">
        <f>"533"</f>
        <v>533</v>
      </c>
      <c r="K1130" t="str">
        <f>"20230923"</f>
        <v>20230923</v>
      </c>
      <c r="L1130" t="s">
        <v>18</v>
      </c>
      <c r="M1130" t="str">
        <f>"20120506"</f>
        <v>20120506</v>
      </c>
    </row>
    <row r="1131" spans="1:13" x14ac:dyDescent="0.25">
      <c r="A1131" t="str">
        <f>"00741224"</f>
        <v>00741224</v>
      </c>
      <c r="B1131" t="s">
        <v>2509</v>
      </c>
      <c r="C1131" t="s">
        <v>2510</v>
      </c>
      <c r="D1131" t="s">
        <v>25</v>
      </c>
      <c r="E1131" t="s">
        <v>26</v>
      </c>
      <c r="F1131" t="s">
        <v>17</v>
      </c>
      <c r="G1131" t="str">
        <f>"02"</f>
        <v>02</v>
      </c>
      <c r="H1131" t="str">
        <f>"7  "</f>
        <v xml:space="preserve">7  </v>
      </c>
      <c r="I1131" t="str">
        <f>"2017/01/12"</f>
        <v>2017/01/12</v>
      </c>
      <c r="J1131" t="str">
        <f>"510"</f>
        <v>510</v>
      </c>
      <c r="K1131" t="s">
        <v>18</v>
      </c>
      <c r="L1131" t="s">
        <v>18</v>
      </c>
      <c r="M1131" t="str">
        <f>"20150404"</f>
        <v>20150404</v>
      </c>
    </row>
    <row r="1132" spans="1:13" x14ac:dyDescent="0.25">
      <c r="A1132" t="str">
        <f>"00306428"</f>
        <v>00306428</v>
      </c>
      <c r="B1132" t="s">
        <v>2509</v>
      </c>
      <c r="C1132" t="s">
        <v>2511</v>
      </c>
      <c r="D1132" t="s">
        <v>51</v>
      </c>
      <c r="E1132" t="s">
        <v>26</v>
      </c>
      <c r="F1132" t="s">
        <v>17</v>
      </c>
      <c r="G1132" t="str">
        <f>"02"</f>
        <v>02</v>
      </c>
      <c r="H1132" t="str">
        <f>"7  "</f>
        <v xml:space="preserve">7  </v>
      </c>
      <c r="I1132" t="str">
        <f>"2019/11/22"</f>
        <v>2019/11/22</v>
      </c>
      <c r="J1132" t="str">
        <f>"510"</f>
        <v>510</v>
      </c>
      <c r="K1132" t="s">
        <v>18</v>
      </c>
      <c r="L1132" t="s">
        <v>18</v>
      </c>
      <c r="M1132" t="str">
        <f>"20180618"</f>
        <v>20180618</v>
      </c>
    </row>
    <row r="1133" spans="1:13" x14ac:dyDescent="0.25">
      <c r="A1133" t="str">
        <f>"00230933"</f>
        <v>00230933</v>
      </c>
      <c r="B1133" t="s">
        <v>2514</v>
      </c>
      <c r="C1133" t="s">
        <v>308</v>
      </c>
      <c r="D1133" t="s">
        <v>37</v>
      </c>
      <c r="E1133" t="s">
        <v>26</v>
      </c>
      <c r="F1133" t="s">
        <v>17</v>
      </c>
      <c r="G1133" t="str">
        <f>"02"</f>
        <v>02</v>
      </c>
      <c r="H1133" t="str">
        <f>"3  "</f>
        <v xml:space="preserve">3  </v>
      </c>
      <c r="I1133" t="str">
        <f>"2011/01/28"</f>
        <v>2011/01/28</v>
      </c>
      <c r="J1133" t="str">
        <f>"510"</f>
        <v>510</v>
      </c>
      <c r="K1133" t="str">
        <f>"20210506"</f>
        <v>20210506</v>
      </c>
      <c r="L1133" t="s">
        <v>18</v>
      </c>
      <c r="M1133" t="str">
        <f>"20090112"</f>
        <v>20090112</v>
      </c>
    </row>
    <row r="1134" spans="1:13" x14ac:dyDescent="0.25">
      <c r="A1134" t="str">
        <f>"00544160"</f>
        <v>00544160</v>
      </c>
      <c r="B1134" t="s">
        <v>2515</v>
      </c>
      <c r="C1134" t="s">
        <v>2516</v>
      </c>
      <c r="D1134" t="s">
        <v>182</v>
      </c>
      <c r="E1134" t="s">
        <v>16</v>
      </c>
      <c r="F1134" t="s">
        <v>17</v>
      </c>
      <c r="G1134" t="str">
        <f>"02"</f>
        <v>02</v>
      </c>
      <c r="H1134" t="str">
        <f>"3  "</f>
        <v xml:space="preserve">3  </v>
      </c>
      <c r="I1134" t="str">
        <f>"2006/08/29"</f>
        <v>2006/08/29</v>
      </c>
      <c r="J1134" t="str">
        <f>"510"</f>
        <v>510</v>
      </c>
      <c r="K1134" t="str">
        <f>"20211212"</f>
        <v>20211212</v>
      </c>
      <c r="L1134" t="s">
        <v>18</v>
      </c>
      <c r="M1134" t="str">
        <f>"20050216"</f>
        <v>20050216</v>
      </c>
    </row>
    <row r="1135" spans="1:13" x14ac:dyDescent="0.25">
      <c r="A1135" t="str">
        <f>"00181888"</f>
        <v>00181888</v>
      </c>
      <c r="B1135" t="s">
        <v>2515</v>
      </c>
      <c r="C1135" t="s">
        <v>2517</v>
      </c>
      <c r="D1135" t="s">
        <v>182</v>
      </c>
      <c r="E1135" t="s">
        <v>16</v>
      </c>
      <c r="F1135" t="s">
        <v>17</v>
      </c>
      <c r="G1135" t="str">
        <f>"02"</f>
        <v>02</v>
      </c>
      <c r="H1135" t="str">
        <f>"7  "</f>
        <v xml:space="preserve">7  </v>
      </c>
      <c r="I1135" t="str">
        <f>"2001/01/24"</f>
        <v>2001/01/24</v>
      </c>
      <c r="J1135" t="str">
        <f>"533"</f>
        <v>533</v>
      </c>
      <c r="K1135" t="s">
        <v>18</v>
      </c>
      <c r="L1135" t="s">
        <v>18</v>
      </c>
      <c r="M1135" t="str">
        <f>"19870217"</f>
        <v>19870217</v>
      </c>
    </row>
    <row r="1136" spans="1:13" x14ac:dyDescent="0.25">
      <c r="A1136" t="str">
        <f>"00329010"</f>
        <v>00329010</v>
      </c>
      <c r="B1136" t="s">
        <v>2518</v>
      </c>
      <c r="C1136" t="s">
        <v>49</v>
      </c>
      <c r="D1136" t="s">
        <v>182</v>
      </c>
      <c r="E1136" t="s">
        <v>26</v>
      </c>
      <c r="F1136" t="s">
        <v>17</v>
      </c>
      <c r="G1136" t="str">
        <f>"02"</f>
        <v>02</v>
      </c>
      <c r="H1136" t="str">
        <f>"3  "</f>
        <v xml:space="preserve">3  </v>
      </c>
      <c r="I1136" t="str">
        <f>"2020/08/05"</f>
        <v>2020/08/05</v>
      </c>
      <c r="J1136" t="str">
        <f>"533"</f>
        <v>533</v>
      </c>
      <c r="K1136" t="str">
        <f>"20280107"</f>
        <v>20280107</v>
      </c>
      <c r="L1136" t="s">
        <v>18</v>
      </c>
      <c r="M1136" t="str">
        <f>"20141022"</f>
        <v>20141022</v>
      </c>
    </row>
    <row r="1137" spans="1:13" x14ac:dyDescent="0.25">
      <c r="A1137" t="str">
        <f>"00295762"</f>
        <v>00295762</v>
      </c>
      <c r="B1137" t="s">
        <v>2519</v>
      </c>
      <c r="C1137" t="s">
        <v>96</v>
      </c>
      <c r="D1137" t="s">
        <v>15</v>
      </c>
      <c r="E1137" t="s">
        <v>26</v>
      </c>
      <c r="F1137" t="s">
        <v>17</v>
      </c>
      <c r="G1137" t="str">
        <f>"02"</f>
        <v>02</v>
      </c>
      <c r="H1137" t="str">
        <f>"3  "</f>
        <v xml:space="preserve">3  </v>
      </c>
      <c r="I1137" t="str">
        <f>"2002/06/20"</f>
        <v>2002/06/20</v>
      </c>
      <c r="J1137" t="str">
        <f>"110"</f>
        <v>110</v>
      </c>
      <c r="K1137" t="str">
        <f>"20280203"</f>
        <v>20280203</v>
      </c>
      <c r="L1137" t="s">
        <v>18</v>
      </c>
      <c r="M1137" t="str">
        <f>"20000621"</f>
        <v>20000621</v>
      </c>
    </row>
    <row r="1138" spans="1:13" x14ac:dyDescent="0.25">
      <c r="A1138" t="str">
        <f>"00518992"</f>
        <v>00518992</v>
      </c>
      <c r="B1138" t="s">
        <v>2522</v>
      </c>
      <c r="C1138" t="s">
        <v>140</v>
      </c>
      <c r="D1138" t="s">
        <v>40</v>
      </c>
      <c r="E1138" t="s">
        <v>26</v>
      </c>
      <c r="F1138" t="s">
        <v>17</v>
      </c>
      <c r="G1138" t="str">
        <f>"02"</f>
        <v>02</v>
      </c>
      <c r="H1138" t="str">
        <f>"3  "</f>
        <v xml:space="preserve">3  </v>
      </c>
      <c r="I1138" t="str">
        <f>"2018/06/29"</f>
        <v>2018/06/29</v>
      </c>
      <c r="J1138" t="str">
        <f>"110"</f>
        <v>110</v>
      </c>
      <c r="K1138" t="str">
        <f>"20220412"</f>
        <v>20220412</v>
      </c>
      <c r="L1138" t="s">
        <v>18</v>
      </c>
      <c r="M1138" t="str">
        <f>"20170920"</f>
        <v>20170920</v>
      </c>
    </row>
    <row r="1139" spans="1:13" x14ac:dyDescent="0.25">
      <c r="A1139" t="str">
        <f>"00410994"</f>
        <v>00410994</v>
      </c>
      <c r="B1139" t="s">
        <v>2525</v>
      </c>
      <c r="C1139" t="s">
        <v>96</v>
      </c>
      <c r="D1139" t="s">
        <v>215</v>
      </c>
      <c r="E1139" t="s">
        <v>16</v>
      </c>
      <c r="F1139" t="s">
        <v>17</v>
      </c>
      <c r="G1139" t="str">
        <f>"02"</f>
        <v>02</v>
      </c>
      <c r="H1139" t="str">
        <f>"3  "</f>
        <v xml:space="preserve">3  </v>
      </c>
      <c r="I1139" t="str">
        <f>"2017/01/12"</f>
        <v>2017/01/12</v>
      </c>
      <c r="J1139" t="str">
        <f>"510"</f>
        <v>510</v>
      </c>
      <c r="K1139" t="str">
        <f>"20351214"</f>
        <v>20351214</v>
      </c>
      <c r="L1139" t="s">
        <v>18</v>
      </c>
      <c r="M1139" t="str">
        <f>"20151219"</f>
        <v>20151219</v>
      </c>
    </row>
    <row r="1140" spans="1:13" x14ac:dyDescent="0.25">
      <c r="A1140" t="str">
        <f>"00148403"</f>
        <v>00148403</v>
      </c>
      <c r="B1140" t="s">
        <v>2529</v>
      </c>
      <c r="C1140" t="s">
        <v>74</v>
      </c>
      <c r="D1140" t="s">
        <v>53</v>
      </c>
      <c r="E1140" t="s">
        <v>16</v>
      </c>
      <c r="F1140" t="s">
        <v>17</v>
      </c>
      <c r="G1140" t="str">
        <f>"02"</f>
        <v>02</v>
      </c>
      <c r="H1140" t="str">
        <f>"7  "</f>
        <v xml:space="preserve">7  </v>
      </c>
      <c r="I1140" t="str">
        <f>"1981/09/21"</f>
        <v>1981/09/21</v>
      </c>
      <c r="J1140" t="str">
        <f>"114"</f>
        <v>114</v>
      </c>
      <c r="K1140" t="s">
        <v>18</v>
      </c>
      <c r="L1140" t="s">
        <v>18</v>
      </c>
      <c r="M1140" t="str">
        <f>"19810228"</f>
        <v>19810228</v>
      </c>
    </row>
    <row r="1141" spans="1:13" x14ac:dyDescent="0.25">
      <c r="A1141" t="str">
        <f>"00717703"</f>
        <v>00717703</v>
      </c>
      <c r="B1141" t="s">
        <v>2534</v>
      </c>
      <c r="C1141" t="s">
        <v>2535</v>
      </c>
      <c r="D1141" t="s">
        <v>25</v>
      </c>
      <c r="E1141" t="s">
        <v>26</v>
      </c>
      <c r="F1141" t="s">
        <v>17</v>
      </c>
      <c r="G1141" t="str">
        <f>"02"</f>
        <v>02</v>
      </c>
      <c r="H1141" t="str">
        <f>"3  "</f>
        <v xml:space="preserve">3  </v>
      </c>
      <c r="I1141" t="str">
        <f>"2018/06/11"</f>
        <v>2018/06/11</v>
      </c>
      <c r="J1141" t="str">
        <f>"503"</f>
        <v>503</v>
      </c>
      <c r="K1141" t="str">
        <f>"20510109"</f>
        <v>20510109</v>
      </c>
      <c r="L1141" t="s">
        <v>18</v>
      </c>
      <c r="M1141" t="str">
        <f>"20151119"</f>
        <v>20151119</v>
      </c>
    </row>
    <row r="1142" spans="1:13" x14ac:dyDescent="0.25">
      <c r="A1142" t="str">
        <f>"00604555"</f>
        <v>00604555</v>
      </c>
      <c r="B1142" t="s">
        <v>2534</v>
      </c>
      <c r="C1142" t="s">
        <v>408</v>
      </c>
      <c r="D1142" t="s">
        <v>51</v>
      </c>
      <c r="E1142" t="s">
        <v>26</v>
      </c>
      <c r="F1142" t="s">
        <v>17</v>
      </c>
      <c r="G1142" t="str">
        <f>"02"</f>
        <v>02</v>
      </c>
      <c r="H1142" t="str">
        <f>"3  "</f>
        <v xml:space="preserve">3  </v>
      </c>
      <c r="I1142" t="str">
        <f>"2011/06/17"</f>
        <v>2011/06/17</v>
      </c>
      <c r="J1142" t="str">
        <f>"510"</f>
        <v>510</v>
      </c>
      <c r="K1142" t="str">
        <f>"20301223"</f>
        <v>20301223</v>
      </c>
      <c r="L1142" t="s">
        <v>18</v>
      </c>
      <c r="M1142" t="str">
        <f>"20100531"</f>
        <v>20100531</v>
      </c>
    </row>
    <row r="1143" spans="1:13" x14ac:dyDescent="0.25">
      <c r="A1143" t="str">
        <f>"00170159"</f>
        <v>00170159</v>
      </c>
      <c r="B1143" t="s">
        <v>2534</v>
      </c>
      <c r="C1143" t="s">
        <v>320</v>
      </c>
      <c r="D1143" t="s">
        <v>15</v>
      </c>
      <c r="E1143" t="s">
        <v>16</v>
      </c>
      <c r="F1143" t="s">
        <v>17</v>
      </c>
      <c r="G1143" t="str">
        <f>"02"</f>
        <v>02</v>
      </c>
      <c r="H1143" t="str">
        <f>"7  "</f>
        <v xml:space="preserve">7  </v>
      </c>
      <c r="I1143" t="str">
        <f>"1987/01/15"</f>
        <v>1987/01/15</v>
      </c>
      <c r="J1143" t="str">
        <f>"599"</f>
        <v>599</v>
      </c>
      <c r="K1143" t="s">
        <v>18</v>
      </c>
      <c r="L1143" t="s">
        <v>18</v>
      </c>
      <c r="M1143" t="str">
        <f>"19801205"</f>
        <v>19801205</v>
      </c>
    </row>
    <row r="1144" spans="1:13" x14ac:dyDescent="0.25">
      <c r="A1144" t="str">
        <f>"00731640"</f>
        <v>00731640</v>
      </c>
      <c r="B1144" t="s">
        <v>2536</v>
      </c>
      <c r="C1144" t="s">
        <v>60</v>
      </c>
      <c r="D1144" t="s">
        <v>97</v>
      </c>
      <c r="E1144" t="s">
        <v>26</v>
      </c>
      <c r="F1144" t="s">
        <v>17</v>
      </c>
      <c r="G1144" t="str">
        <f>"02"</f>
        <v>02</v>
      </c>
      <c r="H1144" t="str">
        <f>"0  "</f>
        <v xml:space="preserve">0  </v>
      </c>
      <c r="I1144" t="str">
        <f>"2019/10/28"</f>
        <v>2019/10/28</v>
      </c>
      <c r="J1144" t="str">
        <f>"510"</f>
        <v>510</v>
      </c>
      <c r="K1144" t="s">
        <v>18</v>
      </c>
      <c r="L1144" t="s">
        <v>18</v>
      </c>
      <c r="M1144" t="s">
        <v>18</v>
      </c>
    </row>
    <row r="1145" spans="1:13" x14ac:dyDescent="0.25">
      <c r="A1145" t="str">
        <f>"00147137"</f>
        <v>00147137</v>
      </c>
      <c r="B1145" t="s">
        <v>2537</v>
      </c>
      <c r="C1145" t="s">
        <v>1075</v>
      </c>
      <c r="D1145" t="s">
        <v>16</v>
      </c>
      <c r="E1145" t="s">
        <v>26</v>
      </c>
      <c r="F1145" t="s">
        <v>17</v>
      </c>
      <c r="G1145" t="str">
        <f>"02"</f>
        <v>02</v>
      </c>
      <c r="H1145" t="str">
        <f>"3  "</f>
        <v xml:space="preserve">3  </v>
      </c>
      <c r="I1145" t="str">
        <f>"2008/03/03"</f>
        <v>2008/03/03</v>
      </c>
      <c r="J1145" t="str">
        <f>"510"</f>
        <v>510</v>
      </c>
      <c r="K1145" t="str">
        <f>"20251205"</f>
        <v>20251205</v>
      </c>
      <c r="L1145" t="s">
        <v>18</v>
      </c>
      <c r="M1145" t="str">
        <f>"20060802"</f>
        <v>20060802</v>
      </c>
    </row>
    <row r="1146" spans="1:13" x14ac:dyDescent="0.25">
      <c r="A1146" t="str">
        <f>"00490426"</f>
        <v>00490426</v>
      </c>
      <c r="B1146" t="s">
        <v>2537</v>
      </c>
      <c r="C1146" t="s">
        <v>72</v>
      </c>
      <c r="D1146" t="s">
        <v>25</v>
      </c>
      <c r="E1146" t="s">
        <v>26</v>
      </c>
      <c r="F1146" t="s">
        <v>17</v>
      </c>
      <c r="G1146" t="str">
        <f>"02"</f>
        <v>02</v>
      </c>
      <c r="H1146" t="str">
        <f>"3  "</f>
        <v xml:space="preserve">3  </v>
      </c>
      <c r="I1146" t="str">
        <f>"2011/05/26"</f>
        <v>2011/05/26</v>
      </c>
      <c r="J1146" t="str">
        <f>"531"</f>
        <v>531</v>
      </c>
      <c r="K1146" t="str">
        <f>"20250122"</f>
        <v>20250122</v>
      </c>
      <c r="L1146" t="s">
        <v>18</v>
      </c>
      <c r="M1146" t="str">
        <f>"20020828"</f>
        <v>20020828</v>
      </c>
    </row>
    <row r="1147" spans="1:13" x14ac:dyDescent="0.25">
      <c r="A1147" t="str">
        <f>"00510171"</f>
        <v>00510171</v>
      </c>
      <c r="B1147" t="s">
        <v>2537</v>
      </c>
      <c r="C1147" t="s">
        <v>59</v>
      </c>
      <c r="D1147" t="s">
        <v>25</v>
      </c>
      <c r="E1147" t="s">
        <v>26</v>
      </c>
      <c r="F1147" t="s">
        <v>17</v>
      </c>
      <c r="G1147" t="str">
        <f>"02"</f>
        <v>02</v>
      </c>
      <c r="H1147" t="str">
        <f>"3  "</f>
        <v xml:space="preserve">3  </v>
      </c>
      <c r="I1147" t="str">
        <f>"2019/01/11"</f>
        <v>2019/01/11</v>
      </c>
      <c r="J1147" t="str">
        <f>"510"</f>
        <v>510</v>
      </c>
      <c r="K1147" t="str">
        <f>"20290807"</f>
        <v>20290807</v>
      </c>
      <c r="L1147" t="s">
        <v>18</v>
      </c>
      <c r="M1147" t="str">
        <f>"20180623"</f>
        <v>20180623</v>
      </c>
    </row>
    <row r="1148" spans="1:13" x14ac:dyDescent="0.25">
      <c r="A1148" t="str">
        <f>"00609438"</f>
        <v>00609438</v>
      </c>
      <c r="B1148" t="s">
        <v>2540</v>
      </c>
      <c r="C1148" t="s">
        <v>2541</v>
      </c>
      <c r="D1148" t="s">
        <v>51</v>
      </c>
      <c r="E1148" t="s">
        <v>26</v>
      </c>
      <c r="F1148" t="s">
        <v>17</v>
      </c>
      <c r="G1148" t="str">
        <f>"02"</f>
        <v>02</v>
      </c>
      <c r="H1148" t="str">
        <f>"3  "</f>
        <v xml:space="preserve">3  </v>
      </c>
      <c r="I1148" t="str">
        <f>"2009/01/13"</f>
        <v>2009/01/13</v>
      </c>
      <c r="J1148" t="str">
        <f>"510"</f>
        <v>510</v>
      </c>
      <c r="K1148" t="str">
        <f>"20260330"</f>
        <v>20260330</v>
      </c>
      <c r="L1148" t="s">
        <v>18</v>
      </c>
      <c r="M1148" t="str">
        <f>"20080703"</f>
        <v>20080703</v>
      </c>
    </row>
    <row r="1149" spans="1:13" x14ac:dyDescent="0.25">
      <c r="A1149" t="str">
        <f>"00178853"</f>
        <v>00178853</v>
      </c>
      <c r="B1149" t="s">
        <v>2542</v>
      </c>
      <c r="C1149" t="s">
        <v>96</v>
      </c>
      <c r="D1149" t="s">
        <v>53</v>
      </c>
      <c r="E1149" t="s">
        <v>26</v>
      </c>
      <c r="F1149" t="s">
        <v>17</v>
      </c>
      <c r="G1149" t="str">
        <f>"02"</f>
        <v>02</v>
      </c>
      <c r="H1149" t="str">
        <f>"7  "</f>
        <v xml:space="preserve">7  </v>
      </c>
      <c r="I1149" t="str">
        <f>"1986/08/12"</f>
        <v>1986/08/12</v>
      </c>
      <c r="J1149" t="str">
        <f>"824"</f>
        <v>824</v>
      </c>
      <c r="K1149" t="s">
        <v>18</v>
      </c>
      <c r="L1149" t="str">
        <f>"20080901"</f>
        <v>20080901</v>
      </c>
      <c r="M1149" t="str">
        <f>"19811216"</f>
        <v>19811216</v>
      </c>
    </row>
    <row r="1150" spans="1:13" x14ac:dyDescent="0.25">
      <c r="A1150" t="str">
        <f>"00605062"</f>
        <v>00605062</v>
      </c>
      <c r="B1150" t="s">
        <v>2543</v>
      </c>
      <c r="C1150" t="s">
        <v>2544</v>
      </c>
      <c r="D1150" t="s">
        <v>21</v>
      </c>
      <c r="E1150" t="s">
        <v>26</v>
      </c>
      <c r="F1150" t="s">
        <v>17</v>
      </c>
      <c r="G1150" t="str">
        <f>"02"</f>
        <v>02</v>
      </c>
      <c r="H1150" t="str">
        <f>"3  "</f>
        <v xml:space="preserve">3  </v>
      </c>
      <c r="I1150" t="str">
        <f>"2016/11/28"</f>
        <v>2016/11/28</v>
      </c>
      <c r="J1150" t="str">
        <f>"510"</f>
        <v>510</v>
      </c>
      <c r="K1150" t="str">
        <f>"20230722"</f>
        <v>20230722</v>
      </c>
      <c r="L1150" t="s">
        <v>18</v>
      </c>
      <c r="M1150" t="str">
        <f>"20150811"</f>
        <v>20150811</v>
      </c>
    </row>
    <row r="1151" spans="1:13" x14ac:dyDescent="0.25">
      <c r="A1151" t="str">
        <f>"00495009"</f>
        <v>00495009</v>
      </c>
      <c r="B1151" t="s">
        <v>2545</v>
      </c>
      <c r="C1151" t="s">
        <v>135</v>
      </c>
      <c r="D1151" t="s">
        <v>21</v>
      </c>
      <c r="E1151" t="s">
        <v>26</v>
      </c>
      <c r="F1151" t="s">
        <v>17</v>
      </c>
      <c r="G1151" t="str">
        <f>"02"</f>
        <v>02</v>
      </c>
      <c r="H1151" t="str">
        <f>"3  "</f>
        <v xml:space="preserve">3  </v>
      </c>
      <c r="I1151" t="str">
        <f>"2019/03/06"</f>
        <v>2019/03/06</v>
      </c>
      <c r="J1151" t="str">
        <f>"531"</f>
        <v>531</v>
      </c>
      <c r="K1151" t="str">
        <f>"20231227"</f>
        <v>20231227</v>
      </c>
      <c r="L1151" t="s">
        <v>18</v>
      </c>
      <c r="M1151" t="str">
        <f>"20150119"</f>
        <v>20150119</v>
      </c>
    </row>
    <row r="1152" spans="1:13" x14ac:dyDescent="0.25">
      <c r="A1152" t="str">
        <f>"00234063"</f>
        <v>00234063</v>
      </c>
      <c r="B1152" t="s">
        <v>2545</v>
      </c>
      <c r="C1152" t="s">
        <v>72</v>
      </c>
      <c r="D1152" t="s">
        <v>26</v>
      </c>
      <c r="E1152" t="s">
        <v>26</v>
      </c>
      <c r="F1152" t="s">
        <v>17</v>
      </c>
      <c r="G1152" t="str">
        <f>"02"</f>
        <v>02</v>
      </c>
      <c r="H1152" t="str">
        <f>"3  "</f>
        <v xml:space="preserve">3  </v>
      </c>
      <c r="I1152" t="str">
        <f>"2016/10/31"</f>
        <v>2016/10/31</v>
      </c>
      <c r="J1152" t="str">
        <f>"110"</f>
        <v>110</v>
      </c>
      <c r="K1152" t="str">
        <f>"20210818"</f>
        <v>20210818</v>
      </c>
      <c r="L1152" t="s">
        <v>18</v>
      </c>
      <c r="M1152" t="str">
        <f>"20161002"</f>
        <v>20161002</v>
      </c>
    </row>
    <row r="1153" spans="1:13" x14ac:dyDescent="0.25">
      <c r="A1153" t="str">
        <f>"00313944"</f>
        <v>00313944</v>
      </c>
      <c r="B1153" t="s">
        <v>2549</v>
      </c>
      <c r="C1153" t="s">
        <v>437</v>
      </c>
      <c r="D1153" t="s">
        <v>25</v>
      </c>
      <c r="E1153" t="s">
        <v>26</v>
      </c>
      <c r="F1153" t="s">
        <v>17</v>
      </c>
      <c r="G1153" t="str">
        <f>"02"</f>
        <v>02</v>
      </c>
      <c r="H1153" t="str">
        <f>"7  "</f>
        <v xml:space="preserve">7  </v>
      </c>
      <c r="I1153" t="str">
        <f>"2013/03/18"</f>
        <v>2013/03/18</v>
      </c>
      <c r="J1153" t="str">
        <f>"510"</f>
        <v>510</v>
      </c>
      <c r="K1153" t="s">
        <v>18</v>
      </c>
      <c r="L1153" t="s">
        <v>18</v>
      </c>
      <c r="M1153" t="str">
        <f>"20101118"</f>
        <v>20101118</v>
      </c>
    </row>
    <row r="1154" spans="1:13" x14ac:dyDescent="0.25">
      <c r="A1154" t="str">
        <f>"00393533"</f>
        <v>00393533</v>
      </c>
      <c r="B1154" t="s">
        <v>2565</v>
      </c>
      <c r="C1154" t="s">
        <v>2566</v>
      </c>
      <c r="D1154" t="s">
        <v>25</v>
      </c>
      <c r="E1154" t="s">
        <v>26</v>
      </c>
      <c r="F1154" t="s">
        <v>17</v>
      </c>
      <c r="G1154" t="str">
        <f>"02"</f>
        <v>02</v>
      </c>
      <c r="H1154" t="str">
        <f>"3  "</f>
        <v xml:space="preserve">3  </v>
      </c>
      <c r="I1154" t="str">
        <f>"2020/09/02"</f>
        <v>2020/09/02</v>
      </c>
      <c r="J1154" t="str">
        <f>"533"</f>
        <v>533</v>
      </c>
      <c r="K1154" t="str">
        <f>"20261021"</f>
        <v>20261021</v>
      </c>
      <c r="L1154" t="s">
        <v>18</v>
      </c>
      <c r="M1154" t="str">
        <f>"20160510"</f>
        <v>20160510</v>
      </c>
    </row>
    <row r="1155" spans="1:13" x14ac:dyDescent="0.25">
      <c r="A1155" t="str">
        <f>"00194316"</f>
        <v>00194316</v>
      </c>
      <c r="B1155" t="s">
        <v>2565</v>
      </c>
      <c r="C1155" t="s">
        <v>442</v>
      </c>
      <c r="D1155" t="s">
        <v>47</v>
      </c>
      <c r="E1155" t="s">
        <v>26</v>
      </c>
      <c r="F1155" t="s">
        <v>17</v>
      </c>
      <c r="G1155" t="str">
        <f>"02"</f>
        <v>02</v>
      </c>
      <c r="H1155" t="str">
        <f>"3  "</f>
        <v xml:space="preserve">3  </v>
      </c>
      <c r="I1155" t="str">
        <f>"2008/02/11"</f>
        <v>2008/02/11</v>
      </c>
      <c r="J1155" t="str">
        <f>"110"</f>
        <v>110</v>
      </c>
      <c r="K1155" t="str">
        <f>"20281116"</f>
        <v>20281116</v>
      </c>
      <c r="L1155" t="s">
        <v>18</v>
      </c>
      <c r="M1155" t="str">
        <f>"20070711"</f>
        <v>20070711</v>
      </c>
    </row>
    <row r="1156" spans="1:13" x14ac:dyDescent="0.25">
      <c r="A1156" t="str">
        <f>"00169158"</f>
        <v>00169158</v>
      </c>
      <c r="B1156" t="s">
        <v>2571</v>
      </c>
      <c r="C1156" t="s">
        <v>1458</v>
      </c>
      <c r="D1156" t="s">
        <v>97</v>
      </c>
      <c r="E1156" t="s">
        <v>26</v>
      </c>
      <c r="F1156" t="s">
        <v>17</v>
      </c>
      <c r="G1156" t="str">
        <f>"02"</f>
        <v>02</v>
      </c>
      <c r="H1156" t="str">
        <f>"7  "</f>
        <v xml:space="preserve">7  </v>
      </c>
      <c r="I1156" t="str">
        <f>"1993/05/28"</f>
        <v>1993/05/28</v>
      </c>
      <c r="J1156" t="str">
        <f>"510"</f>
        <v>510</v>
      </c>
      <c r="K1156" t="s">
        <v>18</v>
      </c>
      <c r="L1156" t="s">
        <v>18</v>
      </c>
      <c r="M1156" t="str">
        <f>"19930316"</f>
        <v>19930316</v>
      </c>
    </row>
    <row r="1157" spans="1:13" x14ac:dyDescent="0.25">
      <c r="A1157" t="str">
        <f>"00266883"</f>
        <v>00266883</v>
      </c>
      <c r="B1157" t="s">
        <v>2575</v>
      </c>
      <c r="C1157" t="s">
        <v>124</v>
      </c>
      <c r="D1157" t="s">
        <v>15</v>
      </c>
      <c r="E1157" t="s">
        <v>16</v>
      </c>
      <c r="F1157" t="s">
        <v>17</v>
      </c>
      <c r="G1157" t="str">
        <f>"02"</f>
        <v>02</v>
      </c>
      <c r="H1157" t="str">
        <f>"3  "</f>
        <v xml:space="preserve">3  </v>
      </c>
      <c r="I1157" t="str">
        <f>"2016/10/03"</f>
        <v>2016/10/03</v>
      </c>
      <c r="J1157" t="str">
        <f>"510"</f>
        <v>510</v>
      </c>
      <c r="K1157" t="str">
        <f>"20311011"</f>
        <v>20311011</v>
      </c>
      <c r="L1157" t="s">
        <v>18</v>
      </c>
      <c r="M1157" t="str">
        <f>"20150614"</f>
        <v>20150614</v>
      </c>
    </row>
    <row r="1158" spans="1:13" x14ac:dyDescent="0.25">
      <c r="A1158" t="str">
        <f>"00353652"</f>
        <v>00353652</v>
      </c>
      <c r="B1158" t="s">
        <v>2577</v>
      </c>
      <c r="C1158" t="s">
        <v>2578</v>
      </c>
      <c r="D1158" t="s">
        <v>15</v>
      </c>
      <c r="E1158" t="s">
        <v>26</v>
      </c>
      <c r="F1158" t="s">
        <v>17</v>
      </c>
      <c r="G1158" t="str">
        <f>"02"</f>
        <v>02</v>
      </c>
      <c r="H1158" t="str">
        <f>"3  "</f>
        <v xml:space="preserve">3  </v>
      </c>
      <c r="I1158" t="str">
        <f>"2016/11/28"</f>
        <v>2016/11/28</v>
      </c>
      <c r="J1158" t="str">
        <f>"510"</f>
        <v>510</v>
      </c>
      <c r="K1158" t="str">
        <f>"20310812"</f>
        <v>20310812</v>
      </c>
      <c r="L1158" t="s">
        <v>18</v>
      </c>
      <c r="M1158" t="str">
        <f>"20141124"</f>
        <v>20141124</v>
      </c>
    </row>
    <row r="1159" spans="1:13" x14ac:dyDescent="0.25">
      <c r="A1159" t="str">
        <f>"00708954"</f>
        <v>00708954</v>
      </c>
      <c r="B1159" t="s">
        <v>2579</v>
      </c>
      <c r="C1159" t="s">
        <v>2580</v>
      </c>
      <c r="D1159" t="s">
        <v>25</v>
      </c>
      <c r="E1159" t="s">
        <v>26</v>
      </c>
      <c r="F1159" t="s">
        <v>17</v>
      </c>
      <c r="G1159" t="str">
        <f>"02"</f>
        <v>02</v>
      </c>
      <c r="H1159" t="str">
        <f>"3  "</f>
        <v xml:space="preserve">3  </v>
      </c>
      <c r="I1159" t="str">
        <f>"2019/12/20"</f>
        <v>2019/12/20</v>
      </c>
      <c r="J1159" t="str">
        <f>"503"</f>
        <v>503</v>
      </c>
      <c r="K1159" t="str">
        <f>"20220105"</f>
        <v>20220105</v>
      </c>
      <c r="L1159" t="s">
        <v>18</v>
      </c>
      <c r="M1159" t="str">
        <f>"20191016"</f>
        <v>20191016</v>
      </c>
    </row>
    <row r="1160" spans="1:13" x14ac:dyDescent="0.25">
      <c r="A1160" t="str">
        <f>"00257309"</f>
        <v>00257309</v>
      </c>
      <c r="B1160" t="s">
        <v>2586</v>
      </c>
      <c r="C1160" t="s">
        <v>44</v>
      </c>
      <c r="D1160" t="s">
        <v>51</v>
      </c>
      <c r="E1160" t="s">
        <v>16</v>
      </c>
      <c r="F1160" t="s">
        <v>17</v>
      </c>
      <c r="G1160" t="str">
        <f>"02"</f>
        <v>02</v>
      </c>
      <c r="H1160" t="str">
        <f>"3  "</f>
        <v xml:space="preserve">3  </v>
      </c>
      <c r="I1160" t="str">
        <f>"2019/10/21"</f>
        <v>2019/10/21</v>
      </c>
      <c r="J1160" t="str">
        <f>"510"</f>
        <v>510</v>
      </c>
      <c r="K1160" t="str">
        <f>"20210228"</f>
        <v>20210228</v>
      </c>
      <c r="L1160" t="s">
        <v>18</v>
      </c>
      <c r="M1160" t="str">
        <f>"20161010"</f>
        <v>20161010</v>
      </c>
    </row>
    <row r="1161" spans="1:13" x14ac:dyDescent="0.25">
      <c r="A1161" t="str">
        <f>"00369888"</f>
        <v>00369888</v>
      </c>
      <c r="B1161" t="s">
        <v>2590</v>
      </c>
      <c r="C1161" t="s">
        <v>2591</v>
      </c>
      <c r="D1161" t="s">
        <v>16</v>
      </c>
      <c r="E1161" t="s">
        <v>26</v>
      </c>
      <c r="F1161" t="s">
        <v>17</v>
      </c>
      <c r="G1161" t="str">
        <f>"02"</f>
        <v>02</v>
      </c>
      <c r="H1161" t="str">
        <f>"3  "</f>
        <v xml:space="preserve">3  </v>
      </c>
      <c r="I1161" t="str">
        <f>"2019/11/22"</f>
        <v>2019/11/22</v>
      </c>
      <c r="J1161" t="str">
        <f>"510"</f>
        <v>510</v>
      </c>
      <c r="K1161" t="str">
        <f>"20450516"</f>
        <v>20450516</v>
      </c>
      <c r="L1161" t="s">
        <v>18</v>
      </c>
      <c r="M1161" t="str">
        <f>"20180420"</f>
        <v>20180420</v>
      </c>
    </row>
    <row r="1162" spans="1:13" x14ac:dyDescent="0.25">
      <c r="A1162" t="str">
        <f>"00335114"</f>
        <v>00335114</v>
      </c>
      <c r="B1162" t="s">
        <v>2598</v>
      </c>
      <c r="C1162" t="s">
        <v>426</v>
      </c>
      <c r="D1162" t="s">
        <v>15</v>
      </c>
      <c r="E1162" t="s">
        <v>26</v>
      </c>
      <c r="F1162" t="s">
        <v>17</v>
      </c>
      <c r="G1162" t="str">
        <f>"02"</f>
        <v>02</v>
      </c>
      <c r="H1162" t="str">
        <f>"3  "</f>
        <v xml:space="preserve">3  </v>
      </c>
      <c r="I1162" t="str">
        <f>"2006/11/08"</f>
        <v>2006/11/08</v>
      </c>
      <c r="J1162" t="str">
        <f>"110"</f>
        <v>110</v>
      </c>
      <c r="K1162" t="str">
        <f>"20251118"</f>
        <v>20251118</v>
      </c>
      <c r="L1162" t="s">
        <v>18</v>
      </c>
      <c r="M1162" t="str">
        <f>"20061031"</f>
        <v>20061031</v>
      </c>
    </row>
    <row r="1163" spans="1:13" x14ac:dyDescent="0.25">
      <c r="A1163" t="str">
        <f>"00163986"</f>
        <v>00163986</v>
      </c>
      <c r="B1163" t="s">
        <v>2599</v>
      </c>
      <c r="C1163" t="s">
        <v>251</v>
      </c>
      <c r="D1163" t="s">
        <v>61</v>
      </c>
      <c r="E1163" t="s">
        <v>26</v>
      </c>
      <c r="F1163" t="s">
        <v>17</v>
      </c>
      <c r="G1163" t="str">
        <f>"02"</f>
        <v>02</v>
      </c>
      <c r="H1163" t="str">
        <f>"3  "</f>
        <v xml:space="preserve">3  </v>
      </c>
      <c r="I1163" t="str">
        <f>"2020/08/05"</f>
        <v>2020/08/05</v>
      </c>
      <c r="J1163" t="str">
        <f>"533"</f>
        <v>533</v>
      </c>
      <c r="K1163" t="str">
        <f>"20310322"</f>
        <v>20310322</v>
      </c>
      <c r="L1163" t="s">
        <v>18</v>
      </c>
      <c r="M1163" t="str">
        <f>"19940106"</f>
        <v>19940106</v>
      </c>
    </row>
    <row r="1164" spans="1:13" x14ac:dyDescent="0.25">
      <c r="A1164" t="str">
        <f>"00854860"</f>
        <v>00854860</v>
      </c>
      <c r="B1164" t="s">
        <v>2600</v>
      </c>
      <c r="C1164" t="s">
        <v>2601</v>
      </c>
      <c r="D1164" t="s">
        <v>25</v>
      </c>
      <c r="E1164" t="s">
        <v>26</v>
      </c>
      <c r="F1164" t="s">
        <v>17</v>
      </c>
      <c r="G1164" t="str">
        <f>"02"</f>
        <v>02</v>
      </c>
      <c r="H1164" t="str">
        <f>"7  "</f>
        <v xml:space="preserve">7  </v>
      </c>
      <c r="I1164" t="str">
        <f>"2018/10/19"</f>
        <v>2018/10/19</v>
      </c>
      <c r="J1164" t="str">
        <f>"503"</f>
        <v>503</v>
      </c>
      <c r="K1164" t="s">
        <v>18</v>
      </c>
      <c r="L1164" t="s">
        <v>18</v>
      </c>
      <c r="M1164" t="str">
        <f>"20170511"</f>
        <v>20170511</v>
      </c>
    </row>
    <row r="1165" spans="1:13" x14ac:dyDescent="0.25">
      <c r="A1165" t="str">
        <f>"00325400"</f>
        <v>00325400</v>
      </c>
      <c r="B1165" t="s">
        <v>2602</v>
      </c>
      <c r="C1165" t="s">
        <v>510</v>
      </c>
      <c r="D1165" t="s">
        <v>21</v>
      </c>
      <c r="E1165" t="s">
        <v>26</v>
      </c>
      <c r="F1165" t="s">
        <v>17</v>
      </c>
      <c r="G1165" t="str">
        <f>"02"</f>
        <v>02</v>
      </c>
      <c r="H1165" t="str">
        <f>"3  "</f>
        <v xml:space="preserve">3  </v>
      </c>
      <c r="I1165" t="str">
        <f>"2017/01/04"</f>
        <v>2017/01/04</v>
      </c>
      <c r="J1165" t="str">
        <f>"510"</f>
        <v>510</v>
      </c>
      <c r="K1165" t="str">
        <f>"20390523"</f>
        <v>20390523</v>
      </c>
      <c r="L1165" t="s">
        <v>18</v>
      </c>
      <c r="M1165" t="str">
        <f>"20121116"</f>
        <v>20121116</v>
      </c>
    </row>
    <row r="1166" spans="1:13" x14ac:dyDescent="0.25">
      <c r="A1166" t="str">
        <f>"00371618"</f>
        <v>00371618</v>
      </c>
      <c r="B1166" t="s">
        <v>2603</v>
      </c>
      <c r="C1166" t="s">
        <v>2143</v>
      </c>
      <c r="D1166" t="s">
        <v>31</v>
      </c>
      <c r="E1166" t="s">
        <v>16</v>
      </c>
      <c r="F1166" t="s">
        <v>17</v>
      </c>
      <c r="G1166" t="str">
        <f>"02"</f>
        <v>02</v>
      </c>
      <c r="H1166" t="str">
        <f>"3  "</f>
        <v xml:space="preserve">3  </v>
      </c>
      <c r="I1166" t="str">
        <f>"2019/04/26"</f>
        <v>2019/04/26</v>
      </c>
      <c r="J1166" t="str">
        <f>"510"</f>
        <v>510</v>
      </c>
      <c r="K1166" t="str">
        <f>"20320111"</f>
        <v>20320111</v>
      </c>
      <c r="L1166" t="s">
        <v>18</v>
      </c>
      <c r="M1166" t="str">
        <f>"20180806"</f>
        <v>20180806</v>
      </c>
    </row>
    <row r="1167" spans="1:13" x14ac:dyDescent="0.25">
      <c r="A1167" t="str">
        <f>"00384734"</f>
        <v>00384734</v>
      </c>
      <c r="B1167" t="s">
        <v>2606</v>
      </c>
      <c r="C1167" t="s">
        <v>547</v>
      </c>
      <c r="D1167" t="s">
        <v>25</v>
      </c>
      <c r="E1167" t="s">
        <v>26</v>
      </c>
      <c r="F1167" t="s">
        <v>17</v>
      </c>
      <c r="G1167" t="str">
        <f>"02"</f>
        <v>02</v>
      </c>
      <c r="H1167" t="str">
        <f>"3  "</f>
        <v xml:space="preserve">3  </v>
      </c>
      <c r="I1167" t="str">
        <f>"2014/03/20"</f>
        <v>2014/03/20</v>
      </c>
      <c r="J1167" t="str">
        <f>"110"</f>
        <v>110</v>
      </c>
      <c r="K1167" t="str">
        <f>"20341117"</f>
        <v>20341117</v>
      </c>
      <c r="L1167" t="s">
        <v>18</v>
      </c>
      <c r="M1167" t="str">
        <f>"20130214"</f>
        <v>20130214</v>
      </c>
    </row>
    <row r="1168" spans="1:13" x14ac:dyDescent="0.25">
      <c r="A1168" t="str">
        <f>"00124648"</f>
        <v>00124648</v>
      </c>
      <c r="B1168" t="s">
        <v>2609</v>
      </c>
      <c r="C1168" t="s">
        <v>55</v>
      </c>
      <c r="D1168" t="s">
        <v>80</v>
      </c>
      <c r="E1168" t="s">
        <v>26</v>
      </c>
      <c r="F1168" t="s">
        <v>17</v>
      </c>
      <c r="G1168" t="str">
        <f>"02"</f>
        <v>02</v>
      </c>
      <c r="H1168" t="str">
        <f>"3  "</f>
        <v xml:space="preserve">3  </v>
      </c>
      <c r="I1168" t="str">
        <f>"2013/02/01"</f>
        <v>2013/02/01</v>
      </c>
      <c r="J1168" t="str">
        <f>"503"</f>
        <v>503</v>
      </c>
      <c r="K1168" t="str">
        <f>"20830325"</f>
        <v>20830325</v>
      </c>
      <c r="L1168" t="str">
        <f>"20840109"</f>
        <v>20840109</v>
      </c>
      <c r="M1168" t="str">
        <f>"20110130"</f>
        <v>20110130</v>
      </c>
    </row>
    <row r="1169" spans="1:13" x14ac:dyDescent="0.25">
      <c r="A1169" t="str">
        <f>"00337929"</f>
        <v>00337929</v>
      </c>
      <c r="B1169" t="s">
        <v>2620</v>
      </c>
      <c r="C1169" t="s">
        <v>2621</v>
      </c>
      <c r="D1169" t="s">
        <v>456</v>
      </c>
      <c r="E1169" t="s">
        <v>16</v>
      </c>
      <c r="F1169" t="s">
        <v>17</v>
      </c>
      <c r="G1169" t="str">
        <f>"02"</f>
        <v>02</v>
      </c>
      <c r="H1169" t="str">
        <f>"3  "</f>
        <v xml:space="preserve">3  </v>
      </c>
      <c r="I1169" t="str">
        <f>"2002/08/30"</f>
        <v>2002/08/30</v>
      </c>
      <c r="J1169" t="str">
        <f>"510"</f>
        <v>510</v>
      </c>
      <c r="K1169" t="str">
        <f>"20820131"</f>
        <v>20820131</v>
      </c>
      <c r="L1169" t="s">
        <v>18</v>
      </c>
      <c r="M1169" t="str">
        <f>"20010430"</f>
        <v>20010430</v>
      </c>
    </row>
    <row r="1170" spans="1:13" x14ac:dyDescent="0.25">
      <c r="A1170" t="str">
        <f>"00620580"</f>
        <v>00620580</v>
      </c>
      <c r="B1170" t="s">
        <v>2625</v>
      </c>
      <c r="C1170" t="s">
        <v>2626</v>
      </c>
      <c r="D1170" t="s">
        <v>215</v>
      </c>
      <c r="E1170" t="s">
        <v>26</v>
      </c>
      <c r="F1170" t="s">
        <v>17</v>
      </c>
      <c r="G1170" t="str">
        <f>"02"</f>
        <v>02</v>
      </c>
      <c r="H1170" t="str">
        <f>"3  "</f>
        <v xml:space="preserve">3  </v>
      </c>
      <c r="I1170" t="str">
        <f>"2018/05/02"</f>
        <v>2018/05/02</v>
      </c>
      <c r="J1170" t="str">
        <f>"510"</f>
        <v>510</v>
      </c>
      <c r="K1170" t="str">
        <f>"20220908"</f>
        <v>20220908</v>
      </c>
      <c r="L1170" t="s">
        <v>18</v>
      </c>
      <c r="M1170" t="str">
        <f>"20160324"</f>
        <v>20160324</v>
      </c>
    </row>
    <row r="1171" spans="1:13" x14ac:dyDescent="0.25">
      <c r="A1171" t="str">
        <f>"00295229"</f>
        <v>00295229</v>
      </c>
      <c r="B1171" t="s">
        <v>2627</v>
      </c>
      <c r="C1171" t="s">
        <v>118</v>
      </c>
      <c r="D1171" t="s">
        <v>51</v>
      </c>
      <c r="E1171" t="s">
        <v>16</v>
      </c>
      <c r="F1171" t="s">
        <v>17</v>
      </c>
      <c r="G1171" t="str">
        <f>"02"</f>
        <v>02</v>
      </c>
      <c r="H1171" t="str">
        <f>"3  "</f>
        <v xml:space="preserve">3  </v>
      </c>
      <c r="I1171" t="str">
        <f>"2019/04/12"</f>
        <v>2019/04/12</v>
      </c>
      <c r="J1171" t="str">
        <f>"503"</f>
        <v>503</v>
      </c>
      <c r="K1171" t="str">
        <f>"20310530"</f>
        <v>20310530</v>
      </c>
      <c r="L1171" t="s">
        <v>18</v>
      </c>
      <c r="M1171" t="str">
        <f>"20181003"</f>
        <v>20181003</v>
      </c>
    </row>
    <row r="1172" spans="1:13" x14ac:dyDescent="0.25">
      <c r="A1172" t="str">
        <f>"00829688"</f>
        <v>00829688</v>
      </c>
      <c r="B1172" t="s">
        <v>2631</v>
      </c>
      <c r="C1172" t="s">
        <v>2632</v>
      </c>
      <c r="D1172" t="s">
        <v>142</v>
      </c>
      <c r="E1172" t="s">
        <v>16</v>
      </c>
      <c r="F1172" t="s">
        <v>17</v>
      </c>
      <c r="G1172" t="str">
        <f>"02"</f>
        <v>02</v>
      </c>
      <c r="H1172" t="str">
        <f>"3  "</f>
        <v xml:space="preserve">3  </v>
      </c>
      <c r="I1172" t="str">
        <f>"2018/10/12"</f>
        <v>2018/10/12</v>
      </c>
      <c r="J1172" t="str">
        <f>"510"</f>
        <v>510</v>
      </c>
      <c r="K1172" t="str">
        <f>"20270224"</f>
        <v>20270224</v>
      </c>
      <c r="L1172" t="s">
        <v>18</v>
      </c>
      <c r="M1172" t="str">
        <f>"20160524"</f>
        <v>20160524</v>
      </c>
    </row>
    <row r="1173" spans="1:13" x14ac:dyDescent="0.25">
      <c r="A1173" t="str">
        <f>"00677911"</f>
        <v>00677911</v>
      </c>
      <c r="B1173" t="s">
        <v>2633</v>
      </c>
      <c r="C1173" t="s">
        <v>1573</v>
      </c>
      <c r="D1173" t="s">
        <v>25</v>
      </c>
      <c r="E1173" t="s">
        <v>16</v>
      </c>
      <c r="F1173" t="s">
        <v>17</v>
      </c>
      <c r="G1173" t="str">
        <f>"02"</f>
        <v>02</v>
      </c>
      <c r="H1173" t="str">
        <f>"3  "</f>
        <v xml:space="preserve">3  </v>
      </c>
      <c r="I1173" t="str">
        <f>"2012/01/20"</f>
        <v>2012/01/20</v>
      </c>
      <c r="J1173" t="str">
        <f>"510"</f>
        <v>510</v>
      </c>
      <c r="K1173" t="str">
        <f>"20230218"</f>
        <v>20230218</v>
      </c>
      <c r="L1173" t="s">
        <v>18</v>
      </c>
      <c r="M1173" t="str">
        <f>"20101026"</f>
        <v>20101026</v>
      </c>
    </row>
    <row r="1174" spans="1:13" x14ac:dyDescent="0.25">
      <c r="A1174" t="str">
        <f>"00858663"</f>
        <v>00858663</v>
      </c>
      <c r="B1174" t="s">
        <v>2635</v>
      </c>
      <c r="C1174" t="s">
        <v>327</v>
      </c>
      <c r="D1174" t="s">
        <v>21</v>
      </c>
      <c r="E1174" t="s">
        <v>16</v>
      </c>
      <c r="F1174" t="s">
        <v>17</v>
      </c>
      <c r="G1174" t="str">
        <f>"02"</f>
        <v>02</v>
      </c>
      <c r="H1174" t="str">
        <f>"3  "</f>
        <v xml:space="preserve">3  </v>
      </c>
      <c r="I1174" t="str">
        <f>"2018/03/09"</f>
        <v>2018/03/09</v>
      </c>
      <c r="J1174" t="str">
        <f>"110"</f>
        <v>110</v>
      </c>
      <c r="K1174" t="str">
        <f>"20221108"</f>
        <v>20221108</v>
      </c>
      <c r="L1174" t="s">
        <v>18</v>
      </c>
      <c r="M1174" t="str">
        <f>"20170629"</f>
        <v>20170629</v>
      </c>
    </row>
    <row r="1175" spans="1:13" x14ac:dyDescent="0.25">
      <c r="A1175" t="str">
        <f>"00362028"</f>
        <v>00362028</v>
      </c>
      <c r="B1175" t="s">
        <v>2636</v>
      </c>
      <c r="C1175" t="s">
        <v>595</v>
      </c>
      <c r="D1175" t="s">
        <v>215</v>
      </c>
      <c r="E1175" t="s">
        <v>26</v>
      </c>
      <c r="F1175" t="s">
        <v>17</v>
      </c>
      <c r="G1175" t="str">
        <f>"02"</f>
        <v>02</v>
      </c>
      <c r="H1175" t="str">
        <f>"7  "</f>
        <v xml:space="preserve">7  </v>
      </c>
      <c r="I1175" t="str">
        <f>"2009/04/27"</f>
        <v>2009/04/27</v>
      </c>
      <c r="J1175" t="str">
        <f>"503"</f>
        <v>503</v>
      </c>
      <c r="K1175" t="s">
        <v>18</v>
      </c>
      <c r="L1175" t="s">
        <v>18</v>
      </c>
      <c r="M1175" t="str">
        <f>"20090306"</f>
        <v>20090306</v>
      </c>
    </row>
    <row r="1176" spans="1:13" x14ac:dyDescent="0.25">
      <c r="A1176" t="str">
        <f>"00234120"</f>
        <v>00234120</v>
      </c>
      <c r="B1176" t="s">
        <v>2637</v>
      </c>
      <c r="C1176" t="s">
        <v>2638</v>
      </c>
      <c r="D1176" t="s">
        <v>61</v>
      </c>
      <c r="E1176" t="s">
        <v>16</v>
      </c>
      <c r="F1176" t="s">
        <v>17</v>
      </c>
      <c r="G1176" t="str">
        <f>"02"</f>
        <v>02</v>
      </c>
      <c r="H1176" t="str">
        <f>"3  "</f>
        <v xml:space="preserve">3  </v>
      </c>
      <c r="I1176" t="str">
        <f>"2017/11/13"</f>
        <v>2017/11/13</v>
      </c>
      <c r="J1176" t="str">
        <f>"503"</f>
        <v>503</v>
      </c>
      <c r="K1176" t="str">
        <f>"20300306"</f>
        <v>20300306</v>
      </c>
      <c r="L1176" t="s">
        <v>18</v>
      </c>
      <c r="M1176" t="str">
        <f>"20130122"</f>
        <v>20130122</v>
      </c>
    </row>
    <row r="1177" spans="1:13" x14ac:dyDescent="0.25">
      <c r="A1177" t="str">
        <f>"00657028"</f>
        <v>00657028</v>
      </c>
      <c r="B1177" t="s">
        <v>2639</v>
      </c>
      <c r="C1177" t="s">
        <v>2640</v>
      </c>
      <c r="D1177" t="s">
        <v>25</v>
      </c>
      <c r="E1177" t="s">
        <v>26</v>
      </c>
      <c r="F1177" t="s">
        <v>17</v>
      </c>
      <c r="G1177" t="str">
        <f>"02"</f>
        <v>02</v>
      </c>
      <c r="H1177" t="str">
        <f>"7  "</f>
        <v xml:space="preserve">7  </v>
      </c>
      <c r="I1177" t="str">
        <f>"2018/07/17"</f>
        <v>2018/07/17</v>
      </c>
      <c r="J1177" t="str">
        <f>"510"</f>
        <v>510</v>
      </c>
      <c r="K1177" t="s">
        <v>18</v>
      </c>
      <c r="L1177" t="s">
        <v>18</v>
      </c>
      <c r="M1177" t="str">
        <f>"20160818"</f>
        <v>20160818</v>
      </c>
    </row>
    <row r="1178" spans="1:13" x14ac:dyDescent="0.25">
      <c r="A1178" t="str">
        <f>"00778893"</f>
        <v>00778893</v>
      </c>
      <c r="B1178" t="s">
        <v>2641</v>
      </c>
      <c r="C1178" t="s">
        <v>2642</v>
      </c>
      <c r="D1178" t="s">
        <v>25</v>
      </c>
      <c r="E1178" t="s">
        <v>26</v>
      </c>
      <c r="F1178" t="s">
        <v>17</v>
      </c>
      <c r="G1178" t="str">
        <f>"02"</f>
        <v>02</v>
      </c>
      <c r="H1178" t="str">
        <f>"3  "</f>
        <v xml:space="preserve">3  </v>
      </c>
      <c r="I1178" t="str">
        <f>"2018/05/16"</f>
        <v>2018/05/16</v>
      </c>
      <c r="J1178" t="str">
        <f>"503"</f>
        <v>503</v>
      </c>
      <c r="K1178" t="str">
        <f>"20210112"</f>
        <v>20210112</v>
      </c>
      <c r="L1178" t="s">
        <v>18</v>
      </c>
      <c r="M1178" t="str">
        <f>"20150517"</f>
        <v>20150517</v>
      </c>
    </row>
    <row r="1179" spans="1:13" x14ac:dyDescent="0.25">
      <c r="A1179" t="str">
        <f>"00565873"</f>
        <v>00565873</v>
      </c>
      <c r="B1179" t="s">
        <v>2643</v>
      </c>
      <c r="C1179" t="s">
        <v>442</v>
      </c>
      <c r="D1179" t="s">
        <v>25</v>
      </c>
      <c r="E1179" t="s">
        <v>16</v>
      </c>
      <c r="F1179" t="s">
        <v>17</v>
      </c>
      <c r="G1179" t="str">
        <f>"02"</f>
        <v>02</v>
      </c>
      <c r="H1179" t="str">
        <f>"3  "</f>
        <v xml:space="preserve">3  </v>
      </c>
      <c r="I1179" t="str">
        <f>"2010/02/03"</f>
        <v>2010/02/03</v>
      </c>
      <c r="J1179" t="str">
        <f>"503"</f>
        <v>503</v>
      </c>
      <c r="K1179" t="str">
        <f>"20490114"</f>
        <v>20490114</v>
      </c>
      <c r="L1179" t="s">
        <v>18</v>
      </c>
      <c r="M1179" t="str">
        <f>"20090519"</f>
        <v>20090519</v>
      </c>
    </row>
    <row r="1180" spans="1:13" x14ac:dyDescent="0.25">
      <c r="A1180" t="str">
        <f>"00254504"</f>
        <v>00254504</v>
      </c>
      <c r="B1180" t="s">
        <v>2650</v>
      </c>
      <c r="C1180" t="s">
        <v>36</v>
      </c>
      <c r="D1180" t="s">
        <v>53</v>
      </c>
      <c r="E1180" t="s">
        <v>26</v>
      </c>
      <c r="F1180" t="s">
        <v>17</v>
      </c>
      <c r="G1180" t="str">
        <f>"02"</f>
        <v>02</v>
      </c>
      <c r="H1180" t="str">
        <f>"3  "</f>
        <v xml:space="preserve">3  </v>
      </c>
      <c r="I1180" t="str">
        <f>"2019/02/11"</f>
        <v>2019/02/11</v>
      </c>
      <c r="J1180" t="str">
        <f>"510"</f>
        <v>510</v>
      </c>
      <c r="K1180" t="str">
        <f>"20290528"</f>
        <v>20290528</v>
      </c>
      <c r="L1180" t="s">
        <v>18</v>
      </c>
      <c r="M1180" t="str">
        <f>"20180301"</f>
        <v>20180301</v>
      </c>
    </row>
    <row r="1181" spans="1:13" x14ac:dyDescent="0.25">
      <c r="A1181" t="str">
        <f>"00259170"</f>
        <v>00259170</v>
      </c>
      <c r="B1181" t="s">
        <v>2650</v>
      </c>
      <c r="C1181" t="s">
        <v>62</v>
      </c>
      <c r="D1181" t="s">
        <v>15</v>
      </c>
      <c r="E1181" t="s">
        <v>26</v>
      </c>
      <c r="F1181" t="s">
        <v>17</v>
      </c>
      <c r="G1181" t="str">
        <f>"02"</f>
        <v>02</v>
      </c>
      <c r="H1181" t="str">
        <f>"7  "</f>
        <v xml:space="preserve">7  </v>
      </c>
      <c r="I1181" t="str">
        <f>"2009/08/13"</f>
        <v>2009/08/13</v>
      </c>
      <c r="J1181" t="str">
        <f>"110"</f>
        <v>110</v>
      </c>
      <c r="K1181" t="s">
        <v>18</v>
      </c>
      <c r="L1181" t="s">
        <v>18</v>
      </c>
      <c r="M1181" t="str">
        <f>"20070913"</f>
        <v>20070913</v>
      </c>
    </row>
    <row r="1182" spans="1:13" x14ac:dyDescent="0.25">
      <c r="A1182" t="str">
        <f>"00381888"</f>
        <v>00381888</v>
      </c>
      <c r="B1182" t="s">
        <v>2651</v>
      </c>
      <c r="C1182" t="s">
        <v>44</v>
      </c>
      <c r="D1182" t="s">
        <v>97</v>
      </c>
      <c r="E1182" t="s">
        <v>26</v>
      </c>
      <c r="F1182" t="s">
        <v>17</v>
      </c>
      <c r="G1182" t="str">
        <f>"02"</f>
        <v>02</v>
      </c>
      <c r="H1182" t="str">
        <f>"3  "</f>
        <v xml:space="preserve">3  </v>
      </c>
      <c r="I1182" t="str">
        <f>"2012/01/20"</f>
        <v>2012/01/20</v>
      </c>
      <c r="J1182" t="str">
        <f>"510"</f>
        <v>510</v>
      </c>
      <c r="K1182" t="str">
        <f>"20320203"</f>
        <v>20320203</v>
      </c>
      <c r="L1182" t="s">
        <v>18</v>
      </c>
      <c r="M1182" t="str">
        <f>"20100924"</f>
        <v>20100924</v>
      </c>
    </row>
    <row r="1183" spans="1:13" x14ac:dyDescent="0.25">
      <c r="A1183" t="str">
        <f>"00657179"</f>
        <v>00657179</v>
      </c>
      <c r="B1183" t="s">
        <v>2651</v>
      </c>
      <c r="C1183" t="s">
        <v>140</v>
      </c>
      <c r="D1183" t="s">
        <v>51</v>
      </c>
      <c r="E1183" t="s">
        <v>16</v>
      </c>
      <c r="F1183" t="s">
        <v>17</v>
      </c>
      <c r="G1183" t="str">
        <f>"02"</f>
        <v>02</v>
      </c>
      <c r="H1183" t="str">
        <f>"3  "</f>
        <v xml:space="preserve">3  </v>
      </c>
      <c r="I1183" t="str">
        <f>"2011/10/19"</f>
        <v>2011/10/19</v>
      </c>
      <c r="J1183" t="str">
        <f>"510"</f>
        <v>510</v>
      </c>
      <c r="K1183" t="str">
        <f>"20251123"</f>
        <v>20251123</v>
      </c>
      <c r="L1183" t="s">
        <v>18</v>
      </c>
      <c r="M1183" t="str">
        <f>"20091120"</f>
        <v>20091120</v>
      </c>
    </row>
    <row r="1184" spans="1:13" x14ac:dyDescent="0.25">
      <c r="A1184" t="str">
        <f>"00303626"</f>
        <v>00303626</v>
      </c>
      <c r="B1184" t="s">
        <v>2651</v>
      </c>
      <c r="C1184" t="s">
        <v>938</v>
      </c>
      <c r="D1184" t="s">
        <v>21</v>
      </c>
      <c r="E1184" t="s">
        <v>26</v>
      </c>
      <c r="F1184" t="s">
        <v>17</v>
      </c>
      <c r="G1184" t="str">
        <f>"02"</f>
        <v>02</v>
      </c>
      <c r="H1184" t="str">
        <f>"0  "</f>
        <v xml:space="preserve">0  </v>
      </c>
      <c r="I1184" t="str">
        <f>"2020/09/17"</f>
        <v>2020/09/17</v>
      </c>
      <c r="J1184" t="str">
        <f>"510"</f>
        <v>510</v>
      </c>
      <c r="K1184" t="s">
        <v>18</v>
      </c>
      <c r="L1184" t="s">
        <v>18</v>
      </c>
      <c r="M1184" t="s">
        <v>18</v>
      </c>
    </row>
    <row r="1185" spans="1:13" x14ac:dyDescent="0.25">
      <c r="A1185" t="str">
        <f>"00159105"</f>
        <v>00159105</v>
      </c>
      <c r="B1185" t="s">
        <v>2651</v>
      </c>
      <c r="C1185" t="s">
        <v>308</v>
      </c>
      <c r="D1185" t="s">
        <v>25</v>
      </c>
      <c r="E1185" t="s">
        <v>16</v>
      </c>
      <c r="F1185" t="s">
        <v>17</v>
      </c>
      <c r="G1185" t="str">
        <f>"02"</f>
        <v>02</v>
      </c>
      <c r="H1185" t="str">
        <f>"3  "</f>
        <v xml:space="preserve">3  </v>
      </c>
      <c r="I1185" t="str">
        <f>"2004/03/12"</f>
        <v>2004/03/12</v>
      </c>
      <c r="J1185" t="str">
        <f>"503"</f>
        <v>503</v>
      </c>
      <c r="K1185" t="str">
        <f>"20310331"</f>
        <v>20310331</v>
      </c>
      <c r="L1185" t="s">
        <v>18</v>
      </c>
      <c r="M1185" t="str">
        <f>"19971205"</f>
        <v>19971205</v>
      </c>
    </row>
    <row r="1186" spans="1:13" x14ac:dyDescent="0.25">
      <c r="A1186" t="str">
        <f>"00740676"</f>
        <v>00740676</v>
      </c>
      <c r="B1186" t="s">
        <v>2651</v>
      </c>
      <c r="C1186" t="s">
        <v>2653</v>
      </c>
      <c r="D1186" t="s">
        <v>25</v>
      </c>
      <c r="E1186" t="s">
        <v>26</v>
      </c>
      <c r="F1186" t="s">
        <v>17</v>
      </c>
      <c r="G1186" t="str">
        <f>"02"</f>
        <v>02</v>
      </c>
      <c r="H1186" t="str">
        <f>"3  "</f>
        <v xml:space="preserve">3  </v>
      </c>
      <c r="I1186" t="str">
        <f>"2020/01/10"</f>
        <v>2020/01/10</v>
      </c>
      <c r="J1186" t="str">
        <f>"503"</f>
        <v>503</v>
      </c>
      <c r="K1186" t="str">
        <f>"20220807"</f>
        <v>20220807</v>
      </c>
      <c r="L1186" t="s">
        <v>18</v>
      </c>
      <c r="M1186" t="str">
        <f>"20180124"</f>
        <v>20180124</v>
      </c>
    </row>
    <row r="1187" spans="1:13" x14ac:dyDescent="0.25">
      <c r="A1187" t="str">
        <f>"00308468"</f>
        <v>00308468</v>
      </c>
      <c r="B1187" t="s">
        <v>2651</v>
      </c>
      <c r="C1187" t="s">
        <v>72</v>
      </c>
      <c r="D1187" t="s">
        <v>21</v>
      </c>
      <c r="E1187" t="s">
        <v>26</v>
      </c>
      <c r="F1187" t="s">
        <v>17</v>
      </c>
      <c r="G1187" t="str">
        <f>"02"</f>
        <v>02</v>
      </c>
      <c r="H1187" t="str">
        <f>"3  "</f>
        <v xml:space="preserve">3  </v>
      </c>
      <c r="I1187" t="str">
        <f>"2016/08/16"</f>
        <v>2016/08/16</v>
      </c>
      <c r="J1187" t="str">
        <f>"510"</f>
        <v>510</v>
      </c>
      <c r="K1187" t="str">
        <f>"20280813"</f>
        <v>20280813</v>
      </c>
      <c r="L1187" t="s">
        <v>18</v>
      </c>
      <c r="M1187" t="str">
        <f>"20150720"</f>
        <v>20150720</v>
      </c>
    </row>
    <row r="1188" spans="1:13" x14ac:dyDescent="0.25">
      <c r="A1188" t="str">
        <f>"00386328"</f>
        <v>00386328</v>
      </c>
      <c r="B1188" t="s">
        <v>2651</v>
      </c>
      <c r="C1188" t="s">
        <v>320</v>
      </c>
      <c r="D1188" t="s">
        <v>15</v>
      </c>
      <c r="E1188" t="s">
        <v>26</v>
      </c>
      <c r="F1188" t="s">
        <v>17</v>
      </c>
      <c r="G1188" t="str">
        <f>"02"</f>
        <v>02</v>
      </c>
      <c r="H1188" t="str">
        <f>"3  "</f>
        <v xml:space="preserve">3  </v>
      </c>
      <c r="I1188" t="str">
        <f>"2015/02/02"</f>
        <v>2015/02/02</v>
      </c>
      <c r="J1188" t="str">
        <f>"510"</f>
        <v>510</v>
      </c>
      <c r="K1188" t="str">
        <f>"20230502"</f>
        <v>20230502</v>
      </c>
      <c r="L1188" t="s">
        <v>18</v>
      </c>
      <c r="M1188" t="str">
        <f>"20120903"</f>
        <v>20120903</v>
      </c>
    </row>
    <row r="1189" spans="1:13" x14ac:dyDescent="0.25">
      <c r="A1189" t="str">
        <f>"00453462"</f>
        <v>00453462</v>
      </c>
      <c r="B1189" t="s">
        <v>2651</v>
      </c>
      <c r="C1189" t="s">
        <v>348</v>
      </c>
      <c r="D1189" t="s">
        <v>53</v>
      </c>
      <c r="E1189" t="s">
        <v>26</v>
      </c>
      <c r="F1189" t="s">
        <v>17</v>
      </c>
      <c r="G1189" t="str">
        <f>"02"</f>
        <v>02</v>
      </c>
      <c r="H1189" t="str">
        <f>"3  "</f>
        <v xml:space="preserve">3  </v>
      </c>
      <c r="I1189" t="str">
        <f>"2014/06/21"</f>
        <v>2014/06/21</v>
      </c>
      <c r="J1189" t="str">
        <f>"110"</f>
        <v>110</v>
      </c>
      <c r="K1189" t="str">
        <f>"20210616"</f>
        <v>20210616</v>
      </c>
      <c r="L1189" t="s">
        <v>18</v>
      </c>
      <c r="M1189" t="str">
        <f>"20120903"</f>
        <v>20120903</v>
      </c>
    </row>
    <row r="1190" spans="1:13" x14ac:dyDescent="0.25">
      <c r="A1190" t="str">
        <f>"00570177"</f>
        <v>00570177</v>
      </c>
      <c r="B1190" t="s">
        <v>2651</v>
      </c>
      <c r="C1190" t="s">
        <v>150</v>
      </c>
      <c r="D1190" t="s">
        <v>15</v>
      </c>
      <c r="E1190" t="s">
        <v>26</v>
      </c>
      <c r="F1190" t="s">
        <v>17</v>
      </c>
      <c r="G1190" t="str">
        <f>"02"</f>
        <v>02</v>
      </c>
      <c r="H1190" t="str">
        <f>"3  "</f>
        <v xml:space="preserve">3  </v>
      </c>
      <c r="I1190" t="str">
        <f>"2008/01/28"</f>
        <v>2008/01/28</v>
      </c>
      <c r="J1190" t="str">
        <f>"510"</f>
        <v>510</v>
      </c>
      <c r="K1190" t="str">
        <f>"20240406"</f>
        <v>20240406</v>
      </c>
      <c r="L1190" t="s">
        <v>18</v>
      </c>
      <c r="M1190" t="str">
        <f>"20060421"</f>
        <v>20060421</v>
      </c>
    </row>
    <row r="1191" spans="1:13" x14ac:dyDescent="0.25">
      <c r="A1191" t="str">
        <f>"00532861"</f>
        <v>00532861</v>
      </c>
      <c r="B1191" t="s">
        <v>2651</v>
      </c>
      <c r="C1191" t="s">
        <v>1677</v>
      </c>
      <c r="D1191" t="s">
        <v>25</v>
      </c>
      <c r="E1191" t="s">
        <v>26</v>
      </c>
      <c r="F1191" t="s">
        <v>17</v>
      </c>
      <c r="G1191" t="str">
        <f>"02"</f>
        <v>02</v>
      </c>
      <c r="H1191" t="str">
        <f>"3  "</f>
        <v xml:space="preserve">3  </v>
      </c>
      <c r="I1191" t="str">
        <f>"2020/08/05"</f>
        <v>2020/08/05</v>
      </c>
      <c r="J1191" t="str">
        <f>"533"</f>
        <v>533</v>
      </c>
      <c r="K1191" t="str">
        <f>"20860102"</f>
        <v>20860102</v>
      </c>
      <c r="L1191" t="s">
        <v>18</v>
      </c>
      <c r="M1191" t="str">
        <f>"20040810"</f>
        <v>20040810</v>
      </c>
    </row>
    <row r="1192" spans="1:13" x14ac:dyDescent="0.25">
      <c r="A1192" t="str">
        <f>"00144108"</f>
        <v>00144108</v>
      </c>
      <c r="B1192" t="s">
        <v>2651</v>
      </c>
      <c r="C1192" t="s">
        <v>59</v>
      </c>
      <c r="D1192" t="s">
        <v>80</v>
      </c>
      <c r="E1192" t="s">
        <v>26</v>
      </c>
      <c r="F1192" t="s">
        <v>17</v>
      </c>
      <c r="G1192" t="str">
        <f>"02"</f>
        <v>02</v>
      </c>
      <c r="H1192" t="str">
        <f>"7  "</f>
        <v xml:space="preserve">7  </v>
      </c>
      <c r="I1192" t="str">
        <f>"1994/07/13"</f>
        <v>1994/07/13</v>
      </c>
      <c r="J1192" t="str">
        <f>"114"</f>
        <v>114</v>
      </c>
      <c r="K1192" t="s">
        <v>18</v>
      </c>
      <c r="L1192" t="s">
        <v>18</v>
      </c>
      <c r="M1192" t="str">
        <f>"19921129"</f>
        <v>19921129</v>
      </c>
    </row>
    <row r="1193" spans="1:13" x14ac:dyDescent="0.25">
      <c r="A1193" t="str">
        <f>"00187661"</f>
        <v>00187661</v>
      </c>
      <c r="B1193" t="s">
        <v>2651</v>
      </c>
      <c r="C1193" t="s">
        <v>62</v>
      </c>
      <c r="D1193" t="s">
        <v>51</v>
      </c>
      <c r="E1193" t="s">
        <v>26</v>
      </c>
      <c r="F1193" t="s">
        <v>17</v>
      </c>
      <c r="G1193" t="str">
        <f>"02"</f>
        <v>02</v>
      </c>
      <c r="H1193" t="str">
        <f>"7  "</f>
        <v xml:space="preserve">7  </v>
      </c>
      <c r="I1193" t="str">
        <f>"2003/06/25"</f>
        <v>2003/06/25</v>
      </c>
      <c r="J1193" t="str">
        <f>"503"</f>
        <v>503</v>
      </c>
      <c r="K1193" t="s">
        <v>18</v>
      </c>
      <c r="L1193" t="s">
        <v>18</v>
      </c>
      <c r="M1193" t="str">
        <f>"19920221"</f>
        <v>19920221</v>
      </c>
    </row>
    <row r="1194" spans="1:13" x14ac:dyDescent="0.25">
      <c r="A1194" t="str">
        <f>"00396016"</f>
        <v>00396016</v>
      </c>
      <c r="B1194" t="s">
        <v>2658</v>
      </c>
      <c r="C1194" t="s">
        <v>135</v>
      </c>
      <c r="D1194" t="s">
        <v>40</v>
      </c>
      <c r="E1194" t="s">
        <v>26</v>
      </c>
      <c r="F1194" t="s">
        <v>17</v>
      </c>
      <c r="G1194" t="str">
        <f>"02"</f>
        <v>02</v>
      </c>
      <c r="H1194" t="str">
        <f>"3  "</f>
        <v xml:space="preserve">3  </v>
      </c>
      <c r="I1194" t="str">
        <f>"2017/05/16"</f>
        <v>2017/05/16</v>
      </c>
      <c r="J1194" t="str">
        <f>"510"</f>
        <v>510</v>
      </c>
      <c r="K1194" t="str">
        <f>"20330419"</f>
        <v>20330419</v>
      </c>
      <c r="L1194" t="s">
        <v>18</v>
      </c>
      <c r="M1194" t="str">
        <f>"20150512"</f>
        <v>20150512</v>
      </c>
    </row>
    <row r="1195" spans="1:13" x14ac:dyDescent="0.25">
      <c r="A1195" t="str">
        <f>"00289616"</f>
        <v>00289616</v>
      </c>
      <c r="B1195" t="s">
        <v>2659</v>
      </c>
      <c r="C1195" t="s">
        <v>2661</v>
      </c>
      <c r="D1195" t="s">
        <v>51</v>
      </c>
      <c r="E1195" t="s">
        <v>26</v>
      </c>
      <c r="F1195" t="s">
        <v>17</v>
      </c>
      <c r="G1195" t="str">
        <f>"02"</f>
        <v>02</v>
      </c>
      <c r="H1195" t="str">
        <f>"3  "</f>
        <v xml:space="preserve">3  </v>
      </c>
      <c r="I1195" t="str">
        <f>"2019/06/07"</f>
        <v>2019/06/07</v>
      </c>
      <c r="J1195" t="str">
        <f>"533"</f>
        <v>533</v>
      </c>
      <c r="K1195" t="str">
        <f>"20290529"</f>
        <v>20290529</v>
      </c>
      <c r="L1195" t="s">
        <v>18</v>
      </c>
      <c r="M1195" t="str">
        <f>"20130729"</f>
        <v>20130729</v>
      </c>
    </row>
    <row r="1196" spans="1:13" x14ac:dyDescent="0.25">
      <c r="A1196" t="str">
        <f>"00570261"</f>
        <v>00570261</v>
      </c>
      <c r="B1196" t="s">
        <v>2659</v>
      </c>
      <c r="C1196" t="s">
        <v>2663</v>
      </c>
      <c r="D1196" t="s">
        <v>25</v>
      </c>
      <c r="E1196" t="s">
        <v>26</v>
      </c>
      <c r="F1196" t="s">
        <v>17</v>
      </c>
      <c r="G1196" t="str">
        <f>"02"</f>
        <v>02</v>
      </c>
      <c r="H1196" t="str">
        <f>"3  "</f>
        <v xml:space="preserve">3  </v>
      </c>
      <c r="I1196" t="str">
        <f>"2015/09/25"</f>
        <v>2015/09/25</v>
      </c>
      <c r="J1196" t="str">
        <f>"510"</f>
        <v>510</v>
      </c>
      <c r="K1196" t="str">
        <f>"20320126"</f>
        <v>20320126</v>
      </c>
      <c r="L1196" t="s">
        <v>18</v>
      </c>
      <c r="M1196" t="str">
        <f>"20140117"</f>
        <v>20140117</v>
      </c>
    </row>
    <row r="1197" spans="1:13" x14ac:dyDescent="0.25">
      <c r="A1197" t="str">
        <f>"00591889"</f>
        <v>00591889</v>
      </c>
      <c r="B1197" t="s">
        <v>2659</v>
      </c>
      <c r="C1197" t="s">
        <v>2664</v>
      </c>
      <c r="D1197" t="s">
        <v>25</v>
      </c>
      <c r="E1197" t="s">
        <v>26</v>
      </c>
      <c r="F1197" t="s">
        <v>17</v>
      </c>
      <c r="G1197" t="str">
        <f>"02"</f>
        <v>02</v>
      </c>
      <c r="H1197" t="str">
        <f>"3  "</f>
        <v xml:space="preserve">3  </v>
      </c>
      <c r="I1197" t="str">
        <f>"2018/09/04"</f>
        <v>2018/09/04</v>
      </c>
      <c r="J1197" t="str">
        <f>"510"</f>
        <v>510</v>
      </c>
      <c r="K1197" t="str">
        <f>"20400202"</f>
        <v>20400202</v>
      </c>
      <c r="L1197" t="s">
        <v>18</v>
      </c>
      <c r="M1197" t="str">
        <f>"20170817"</f>
        <v>20170817</v>
      </c>
    </row>
    <row r="1198" spans="1:13" x14ac:dyDescent="0.25">
      <c r="A1198" t="str">
        <f>"00337177"</f>
        <v>00337177</v>
      </c>
      <c r="B1198" t="s">
        <v>2667</v>
      </c>
      <c r="C1198" t="s">
        <v>2089</v>
      </c>
      <c r="D1198" t="s">
        <v>51</v>
      </c>
      <c r="E1198" t="s">
        <v>26</v>
      </c>
      <c r="F1198" t="s">
        <v>17</v>
      </c>
      <c r="G1198" t="str">
        <f>"02"</f>
        <v>02</v>
      </c>
      <c r="H1198" t="str">
        <f>"7  "</f>
        <v xml:space="preserve">7  </v>
      </c>
      <c r="I1198" t="str">
        <f>"2012/07/23"</f>
        <v>2012/07/23</v>
      </c>
      <c r="J1198" t="str">
        <f>"503"</f>
        <v>503</v>
      </c>
      <c r="K1198" t="s">
        <v>18</v>
      </c>
      <c r="L1198" t="s">
        <v>18</v>
      </c>
      <c r="M1198" t="str">
        <f>"20110910"</f>
        <v>20110910</v>
      </c>
    </row>
    <row r="1199" spans="1:13" x14ac:dyDescent="0.25">
      <c r="A1199" t="str">
        <f>"00543614"</f>
        <v>00543614</v>
      </c>
      <c r="B1199" t="s">
        <v>2668</v>
      </c>
      <c r="C1199" t="s">
        <v>524</v>
      </c>
      <c r="D1199" t="s">
        <v>61</v>
      </c>
      <c r="E1199" t="s">
        <v>26</v>
      </c>
      <c r="F1199" t="s">
        <v>17</v>
      </c>
      <c r="G1199" t="str">
        <f>"02"</f>
        <v>02</v>
      </c>
      <c r="H1199" t="str">
        <f>"3  "</f>
        <v xml:space="preserve">3  </v>
      </c>
      <c r="I1199" t="str">
        <f>"2018/10/12"</f>
        <v>2018/10/12</v>
      </c>
      <c r="J1199" t="str">
        <f>"510"</f>
        <v>510</v>
      </c>
      <c r="K1199" t="str">
        <f>"20290221"</f>
        <v>20290221</v>
      </c>
      <c r="L1199" t="s">
        <v>18</v>
      </c>
      <c r="M1199" t="str">
        <f>"20171106"</f>
        <v>20171106</v>
      </c>
    </row>
    <row r="1200" spans="1:13" x14ac:dyDescent="0.25">
      <c r="A1200" t="str">
        <f>"00760830"</f>
        <v>00760830</v>
      </c>
      <c r="B1200" t="s">
        <v>2669</v>
      </c>
      <c r="C1200" t="s">
        <v>176</v>
      </c>
      <c r="D1200" t="s">
        <v>80</v>
      </c>
      <c r="E1200" t="s">
        <v>16</v>
      </c>
      <c r="F1200" t="s">
        <v>17</v>
      </c>
      <c r="G1200" t="str">
        <f>"02"</f>
        <v>02</v>
      </c>
      <c r="H1200" t="str">
        <f>"3  "</f>
        <v xml:space="preserve">3  </v>
      </c>
      <c r="I1200" t="str">
        <f>"2014/10/01"</f>
        <v>2014/10/01</v>
      </c>
      <c r="J1200" t="str">
        <f>"110"</f>
        <v>110</v>
      </c>
      <c r="K1200" t="str">
        <f>"20230119"</f>
        <v>20230119</v>
      </c>
      <c r="L1200" t="s">
        <v>18</v>
      </c>
      <c r="M1200" t="str">
        <f>"20140123"</f>
        <v>20140123</v>
      </c>
    </row>
    <row r="1201" spans="1:13" x14ac:dyDescent="0.25">
      <c r="A1201" t="str">
        <f>"00735286"</f>
        <v>00735286</v>
      </c>
      <c r="B1201" t="s">
        <v>2671</v>
      </c>
      <c r="C1201" t="s">
        <v>1209</v>
      </c>
      <c r="D1201" t="s">
        <v>31</v>
      </c>
      <c r="E1201" t="s">
        <v>26</v>
      </c>
      <c r="F1201" t="s">
        <v>17</v>
      </c>
      <c r="G1201" t="str">
        <f>"02"</f>
        <v>02</v>
      </c>
      <c r="H1201" t="str">
        <f>"3  "</f>
        <v xml:space="preserve">3  </v>
      </c>
      <c r="I1201" t="str">
        <f>"2019/08/09"</f>
        <v>2019/08/09</v>
      </c>
      <c r="J1201" t="str">
        <f>"510"</f>
        <v>510</v>
      </c>
      <c r="K1201" t="str">
        <f>"20220621"</f>
        <v>20220621</v>
      </c>
      <c r="L1201" t="s">
        <v>18</v>
      </c>
      <c r="M1201" t="str">
        <f>"20180130"</f>
        <v>20180130</v>
      </c>
    </row>
    <row r="1202" spans="1:13" x14ac:dyDescent="0.25">
      <c r="A1202" t="str">
        <f>"00556417"</f>
        <v>00556417</v>
      </c>
      <c r="B1202" t="s">
        <v>2673</v>
      </c>
      <c r="C1202" t="s">
        <v>269</v>
      </c>
      <c r="D1202" t="s">
        <v>25</v>
      </c>
      <c r="E1202" t="s">
        <v>16</v>
      </c>
      <c r="F1202" t="s">
        <v>17</v>
      </c>
      <c r="G1202" t="str">
        <f>"02"</f>
        <v>02</v>
      </c>
      <c r="H1202" t="str">
        <f>"3  "</f>
        <v xml:space="preserve">3  </v>
      </c>
      <c r="I1202" t="str">
        <f>"2016/12/01"</f>
        <v>2016/12/01</v>
      </c>
      <c r="J1202" t="str">
        <f>"510"</f>
        <v>510</v>
      </c>
      <c r="K1202" t="str">
        <f>"20230904"</f>
        <v>20230904</v>
      </c>
      <c r="L1202" t="s">
        <v>18</v>
      </c>
      <c r="M1202" t="str">
        <f>"20150720"</f>
        <v>20150720</v>
      </c>
    </row>
    <row r="1203" spans="1:13" x14ac:dyDescent="0.25">
      <c r="A1203" t="str">
        <f>"00488595"</f>
        <v>00488595</v>
      </c>
      <c r="B1203" t="s">
        <v>2674</v>
      </c>
      <c r="C1203" t="s">
        <v>2676</v>
      </c>
      <c r="D1203" t="s">
        <v>21</v>
      </c>
      <c r="E1203" t="s">
        <v>26</v>
      </c>
      <c r="F1203" t="s">
        <v>17</v>
      </c>
      <c r="G1203" t="str">
        <f>"02"</f>
        <v>02</v>
      </c>
      <c r="H1203" t="str">
        <f>"3  "</f>
        <v xml:space="preserve">3  </v>
      </c>
      <c r="I1203" t="str">
        <f>"2020/09/16"</f>
        <v>2020/09/16</v>
      </c>
      <c r="J1203" t="str">
        <f>"533"</f>
        <v>533</v>
      </c>
      <c r="K1203" t="str">
        <f>"20841017"</f>
        <v>20841017</v>
      </c>
      <c r="L1203" t="s">
        <v>18</v>
      </c>
      <c r="M1203" t="str">
        <f>"20120323"</f>
        <v>20120323</v>
      </c>
    </row>
    <row r="1204" spans="1:13" x14ac:dyDescent="0.25">
      <c r="A1204" t="str">
        <f>"00440585"</f>
        <v>00440585</v>
      </c>
      <c r="B1204" t="s">
        <v>2674</v>
      </c>
      <c r="C1204" t="s">
        <v>408</v>
      </c>
      <c r="D1204" t="s">
        <v>25</v>
      </c>
      <c r="E1204" t="s">
        <v>26</v>
      </c>
      <c r="F1204" t="s">
        <v>17</v>
      </c>
      <c r="G1204" t="str">
        <f>"02"</f>
        <v>02</v>
      </c>
      <c r="H1204" t="str">
        <f>"3  "</f>
        <v xml:space="preserve">3  </v>
      </c>
      <c r="I1204" t="str">
        <f>"2020/09/16"</f>
        <v>2020/09/16</v>
      </c>
      <c r="J1204" t="str">
        <f>"533"</f>
        <v>533</v>
      </c>
      <c r="K1204" t="str">
        <f>"20310130"</f>
        <v>20310130</v>
      </c>
      <c r="L1204" t="str">
        <f>"20320117"</f>
        <v>20320117</v>
      </c>
      <c r="M1204" t="str">
        <f>"20141108"</f>
        <v>20141108</v>
      </c>
    </row>
    <row r="1205" spans="1:13" x14ac:dyDescent="0.25">
      <c r="A1205" t="str">
        <f>"00521134"</f>
        <v>00521134</v>
      </c>
      <c r="B1205" t="s">
        <v>2674</v>
      </c>
      <c r="C1205" t="s">
        <v>770</v>
      </c>
      <c r="D1205" t="s">
        <v>61</v>
      </c>
      <c r="E1205" t="s">
        <v>26</v>
      </c>
      <c r="F1205" t="s">
        <v>17</v>
      </c>
      <c r="G1205" t="str">
        <f>"02"</f>
        <v>02</v>
      </c>
      <c r="H1205" t="str">
        <f>"3  "</f>
        <v xml:space="preserve">3  </v>
      </c>
      <c r="I1205" t="str">
        <f>"2015/05/14"</f>
        <v>2015/05/14</v>
      </c>
      <c r="J1205" t="str">
        <f>"510"</f>
        <v>510</v>
      </c>
      <c r="K1205" t="str">
        <f>"20541218"</f>
        <v>20541218</v>
      </c>
      <c r="L1205" t="s">
        <v>18</v>
      </c>
      <c r="M1205" t="str">
        <f>"20111201"</f>
        <v>20111201</v>
      </c>
    </row>
    <row r="1206" spans="1:13" x14ac:dyDescent="0.25">
      <c r="A1206" t="str">
        <f>"00304556"</f>
        <v>00304556</v>
      </c>
      <c r="B1206" t="s">
        <v>2684</v>
      </c>
      <c r="C1206" t="s">
        <v>154</v>
      </c>
      <c r="D1206" t="s">
        <v>51</v>
      </c>
      <c r="E1206" t="s">
        <v>26</v>
      </c>
      <c r="F1206" t="s">
        <v>17</v>
      </c>
      <c r="G1206" t="str">
        <f>"02"</f>
        <v>02</v>
      </c>
      <c r="H1206" t="str">
        <f>"3  "</f>
        <v xml:space="preserve">3  </v>
      </c>
      <c r="I1206" t="str">
        <f>"2020/08/05"</f>
        <v>2020/08/05</v>
      </c>
      <c r="J1206" t="str">
        <f>"533"</f>
        <v>533</v>
      </c>
      <c r="K1206" t="str">
        <f>"20280303"</f>
        <v>20280303</v>
      </c>
      <c r="L1206" t="s">
        <v>18</v>
      </c>
      <c r="M1206" t="str">
        <f>"20070227"</f>
        <v>20070227</v>
      </c>
    </row>
    <row r="1207" spans="1:13" x14ac:dyDescent="0.25">
      <c r="A1207" t="str">
        <f>"00219440"</f>
        <v>00219440</v>
      </c>
      <c r="B1207" t="s">
        <v>2685</v>
      </c>
      <c r="C1207" t="s">
        <v>2686</v>
      </c>
      <c r="D1207" t="s">
        <v>51</v>
      </c>
      <c r="E1207" t="s">
        <v>26</v>
      </c>
      <c r="F1207" t="s">
        <v>17</v>
      </c>
      <c r="G1207" t="str">
        <f>"02"</f>
        <v>02</v>
      </c>
      <c r="H1207" t="str">
        <f>"3  "</f>
        <v xml:space="preserve">3  </v>
      </c>
      <c r="I1207" t="str">
        <f>"2020/09/16"</f>
        <v>2020/09/16</v>
      </c>
      <c r="J1207" t="str">
        <f>"533"</f>
        <v>533</v>
      </c>
      <c r="K1207" t="str">
        <f>"20251213"</f>
        <v>20251213</v>
      </c>
      <c r="L1207" t="s">
        <v>18</v>
      </c>
      <c r="M1207" t="str">
        <f>"20120825"</f>
        <v>20120825</v>
      </c>
    </row>
    <row r="1208" spans="1:13" x14ac:dyDescent="0.25">
      <c r="A1208" t="str">
        <f>"00865718"</f>
        <v>00865718</v>
      </c>
      <c r="B1208" t="s">
        <v>2692</v>
      </c>
      <c r="C1208" t="s">
        <v>138</v>
      </c>
      <c r="D1208" t="s">
        <v>51</v>
      </c>
      <c r="E1208" t="s">
        <v>26</v>
      </c>
      <c r="F1208" t="s">
        <v>17</v>
      </c>
      <c r="G1208" t="str">
        <f>"02"</f>
        <v>02</v>
      </c>
      <c r="H1208" t="str">
        <f>"3  "</f>
        <v xml:space="preserve">3  </v>
      </c>
      <c r="I1208" t="str">
        <f>"2020/06/12"</f>
        <v>2020/06/12</v>
      </c>
      <c r="J1208" t="str">
        <f>"534"</f>
        <v>534</v>
      </c>
      <c r="K1208" t="str">
        <f>"20351022"</f>
        <v>20351022</v>
      </c>
      <c r="L1208" t="s">
        <v>18</v>
      </c>
      <c r="M1208" t="str">
        <f>"20171002"</f>
        <v>20171002</v>
      </c>
    </row>
    <row r="1209" spans="1:13" x14ac:dyDescent="0.25">
      <c r="A1209" t="str">
        <f>"00177236"</f>
        <v>00177236</v>
      </c>
      <c r="B1209" t="s">
        <v>2693</v>
      </c>
      <c r="C1209" t="s">
        <v>96</v>
      </c>
      <c r="D1209" t="s">
        <v>21</v>
      </c>
      <c r="E1209" t="s">
        <v>26</v>
      </c>
      <c r="F1209" t="s">
        <v>17</v>
      </c>
      <c r="G1209" t="str">
        <f>"02"</f>
        <v>02</v>
      </c>
      <c r="H1209" t="str">
        <f>"3  "</f>
        <v xml:space="preserve">3  </v>
      </c>
      <c r="I1209" t="str">
        <f>"2015/09/01"</f>
        <v>2015/09/01</v>
      </c>
      <c r="J1209" t="str">
        <f>"110"</f>
        <v>110</v>
      </c>
      <c r="K1209" t="str">
        <f>"20280607"</f>
        <v>20280607</v>
      </c>
      <c r="L1209" t="s">
        <v>18</v>
      </c>
      <c r="M1209" t="str">
        <f>"20150124"</f>
        <v>20150124</v>
      </c>
    </row>
    <row r="1210" spans="1:13" x14ac:dyDescent="0.25">
      <c r="A1210" t="str">
        <f>"00401083"</f>
        <v>00401083</v>
      </c>
      <c r="B1210" t="s">
        <v>2695</v>
      </c>
      <c r="C1210" t="s">
        <v>140</v>
      </c>
      <c r="D1210" t="s">
        <v>40</v>
      </c>
      <c r="E1210" t="s">
        <v>16</v>
      </c>
      <c r="F1210" t="s">
        <v>17</v>
      </c>
      <c r="G1210" t="str">
        <f>"02"</f>
        <v>02</v>
      </c>
      <c r="H1210" t="str">
        <f>"3  "</f>
        <v xml:space="preserve">3  </v>
      </c>
      <c r="I1210" t="str">
        <f>"2009/01/20"</f>
        <v>2009/01/20</v>
      </c>
      <c r="J1210" t="str">
        <f>"510"</f>
        <v>510</v>
      </c>
      <c r="K1210" t="str">
        <f>"20211125"</f>
        <v>20211125</v>
      </c>
      <c r="L1210" t="s">
        <v>18</v>
      </c>
      <c r="M1210" t="str">
        <f>"20070624"</f>
        <v>20070624</v>
      </c>
    </row>
    <row r="1211" spans="1:13" x14ac:dyDescent="0.25">
      <c r="A1211" t="str">
        <f>"00545037"</f>
        <v>00545037</v>
      </c>
      <c r="B1211" t="s">
        <v>2695</v>
      </c>
      <c r="C1211" t="s">
        <v>2698</v>
      </c>
      <c r="D1211" t="s">
        <v>142</v>
      </c>
      <c r="E1211" t="s">
        <v>26</v>
      </c>
      <c r="F1211" t="s">
        <v>17</v>
      </c>
      <c r="G1211" t="str">
        <f>"02"</f>
        <v>02</v>
      </c>
      <c r="H1211" t="str">
        <f>"3  "</f>
        <v xml:space="preserve">3  </v>
      </c>
      <c r="I1211" t="str">
        <f>"2011/09/28"</f>
        <v>2011/09/28</v>
      </c>
      <c r="J1211" t="str">
        <f>"503"</f>
        <v>503</v>
      </c>
      <c r="K1211" t="str">
        <f>"20500404"</f>
        <v>20500404</v>
      </c>
      <c r="L1211" t="s">
        <v>18</v>
      </c>
      <c r="M1211" t="str">
        <f>"20100713"</f>
        <v>20100713</v>
      </c>
    </row>
    <row r="1212" spans="1:13" x14ac:dyDescent="0.25">
      <c r="A1212" t="str">
        <f>"00392212"</f>
        <v>00392212</v>
      </c>
      <c r="B1212" t="s">
        <v>2695</v>
      </c>
      <c r="C1212" t="s">
        <v>281</v>
      </c>
      <c r="D1212" t="s">
        <v>21</v>
      </c>
      <c r="E1212" t="s">
        <v>26</v>
      </c>
      <c r="F1212" t="s">
        <v>17</v>
      </c>
      <c r="G1212" t="str">
        <f>"02"</f>
        <v>02</v>
      </c>
      <c r="H1212" t="str">
        <f>"3  "</f>
        <v xml:space="preserve">3  </v>
      </c>
      <c r="I1212" t="str">
        <f>"2020/09/02"</f>
        <v>2020/09/02</v>
      </c>
      <c r="J1212" t="str">
        <f>"533"</f>
        <v>533</v>
      </c>
      <c r="K1212" t="str">
        <f>"20470825"</f>
        <v>20470825</v>
      </c>
      <c r="L1212" t="s">
        <v>18</v>
      </c>
      <c r="M1212" t="str">
        <f>"20140525"</f>
        <v>20140525</v>
      </c>
    </row>
    <row r="1213" spans="1:13" x14ac:dyDescent="0.25">
      <c r="A1213" t="str">
        <f>"00276179"</f>
        <v>00276179</v>
      </c>
      <c r="B1213" t="s">
        <v>2695</v>
      </c>
      <c r="C1213" t="s">
        <v>74</v>
      </c>
      <c r="D1213" t="s">
        <v>21</v>
      </c>
      <c r="E1213" t="s">
        <v>16</v>
      </c>
      <c r="F1213" t="s">
        <v>17</v>
      </c>
      <c r="G1213" t="str">
        <f>"02"</f>
        <v>02</v>
      </c>
      <c r="H1213" t="str">
        <f>"4  "</f>
        <v xml:space="preserve">4  </v>
      </c>
      <c r="I1213" t="str">
        <f>"1994/03/23"</f>
        <v>1994/03/23</v>
      </c>
      <c r="J1213" t="str">
        <f>"502"</f>
        <v>502</v>
      </c>
      <c r="K1213" t="str">
        <f>"21480110"</f>
        <v>21480110</v>
      </c>
      <c r="L1213" t="s">
        <v>18</v>
      </c>
      <c r="M1213" t="str">
        <f>"19920213"</f>
        <v>19920213</v>
      </c>
    </row>
    <row r="1214" spans="1:13" x14ac:dyDescent="0.25">
      <c r="A1214" t="str">
        <f>"00592527"</f>
        <v>00592527</v>
      </c>
      <c r="B1214" t="s">
        <v>2701</v>
      </c>
      <c r="C1214" t="s">
        <v>2703</v>
      </c>
      <c r="D1214" t="s">
        <v>25</v>
      </c>
      <c r="E1214" t="s">
        <v>16</v>
      </c>
      <c r="F1214" t="s">
        <v>17</v>
      </c>
      <c r="G1214" t="str">
        <f>"02"</f>
        <v>02</v>
      </c>
      <c r="H1214" t="str">
        <f>"3  "</f>
        <v xml:space="preserve">3  </v>
      </c>
      <c r="I1214" t="str">
        <f>"2019/09/27"</f>
        <v>2019/09/27</v>
      </c>
      <c r="J1214" t="str">
        <f>"510"</f>
        <v>510</v>
      </c>
      <c r="K1214" t="str">
        <f>"20250807"</f>
        <v>20250807</v>
      </c>
      <c r="L1214" t="s">
        <v>18</v>
      </c>
      <c r="M1214" t="str">
        <f>"20190313"</f>
        <v>20190313</v>
      </c>
    </row>
    <row r="1215" spans="1:13" x14ac:dyDescent="0.25">
      <c r="A1215" t="str">
        <f>"00679349"</f>
        <v>00679349</v>
      </c>
      <c r="B1215" t="s">
        <v>2710</v>
      </c>
      <c r="C1215" t="s">
        <v>66</v>
      </c>
      <c r="D1215" t="s">
        <v>15</v>
      </c>
      <c r="E1215" t="s">
        <v>16</v>
      </c>
      <c r="F1215" t="s">
        <v>17</v>
      </c>
      <c r="G1215" t="str">
        <f>"02"</f>
        <v>02</v>
      </c>
      <c r="H1215" t="str">
        <f>"7  "</f>
        <v xml:space="preserve">7  </v>
      </c>
      <c r="I1215" t="str">
        <f>"2018/07/17"</f>
        <v>2018/07/17</v>
      </c>
      <c r="J1215" t="str">
        <f>"510"</f>
        <v>510</v>
      </c>
      <c r="K1215" t="s">
        <v>18</v>
      </c>
      <c r="L1215" t="s">
        <v>18</v>
      </c>
      <c r="M1215" t="str">
        <f>"20180320"</f>
        <v>20180320</v>
      </c>
    </row>
    <row r="1216" spans="1:13" x14ac:dyDescent="0.25">
      <c r="A1216" t="str">
        <f>"00823760"</f>
        <v>00823760</v>
      </c>
      <c r="B1216" t="s">
        <v>2711</v>
      </c>
      <c r="C1216" t="s">
        <v>318</v>
      </c>
      <c r="D1216" t="s">
        <v>25</v>
      </c>
      <c r="E1216" t="s">
        <v>26</v>
      </c>
      <c r="F1216" t="s">
        <v>17</v>
      </c>
      <c r="G1216" t="str">
        <f>"02"</f>
        <v>02</v>
      </c>
      <c r="H1216" t="str">
        <f>"3  "</f>
        <v xml:space="preserve">3  </v>
      </c>
      <c r="I1216" t="str">
        <f>"2019/12/17"</f>
        <v>2019/12/17</v>
      </c>
      <c r="J1216" t="str">
        <f>"510"</f>
        <v>510</v>
      </c>
      <c r="K1216" t="str">
        <f>"20280123"</f>
        <v>20280123</v>
      </c>
      <c r="L1216" t="s">
        <v>18</v>
      </c>
      <c r="M1216" t="str">
        <f>"20180214"</f>
        <v>20180214</v>
      </c>
    </row>
    <row r="1217" spans="1:13" x14ac:dyDescent="0.25">
      <c r="A1217" t="str">
        <f>"00649107"</f>
        <v>00649107</v>
      </c>
      <c r="B1217" t="s">
        <v>2711</v>
      </c>
      <c r="C1217" t="s">
        <v>22</v>
      </c>
      <c r="D1217" t="s">
        <v>61</v>
      </c>
      <c r="E1217" t="s">
        <v>16</v>
      </c>
      <c r="F1217" t="s">
        <v>17</v>
      </c>
      <c r="G1217" t="str">
        <f>"02"</f>
        <v>02</v>
      </c>
      <c r="H1217" t="str">
        <f>"3  "</f>
        <v xml:space="preserve">3  </v>
      </c>
      <c r="I1217" t="str">
        <f>"2020/09/17"</f>
        <v>2020/09/17</v>
      </c>
      <c r="J1217" t="str">
        <f>"533"</f>
        <v>533</v>
      </c>
      <c r="K1217" t="str">
        <f>"20250625"</f>
        <v>20250625</v>
      </c>
      <c r="L1217" t="s">
        <v>18</v>
      </c>
      <c r="M1217" t="str">
        <f>"20100330"</f>
        <v>20100330</v>
      </c>
    </row>
    <row r="1218" spans="1:13" x14ac:dyDescent="0.25">
      <c r="A1218" t="str">
        <f>"00263971"</f>
        <v>00263971</v>
      </c>
      <c r="B1218" t="s">
        <v>2712</v>
      </c>
      <c r="C1218" t="s">
        <v>2713</v>
      </c>
      <c r="D1218" t="s">
        <v>16</v>
      </c>
      <c r="E1218" t="s">
        <v>26</v>
      </c>
      <c r="F1218" t="s">
        <v>17</v>
      </c>
      <c r="G1218" t="str">
        <f>"02"</f>
        <v>02</v>
      </c>
      <c r="H1218" t="str">
        <f>"3  "</f>
        <v xml:space="preserve">3  </v>
      </c>
      <c r="I1218" t="str">
        <f>"2005/05/27"</f>
        <v>2005/05/27</v>
      </c>
      <c r="J1218" t="str">
        <f>"503"</f>
        <v>503</v>
      </c>
      <c r="K1218" t="str">
        <f>"20301115"</f>
        <v>20301115</v>
      </c>
      <c r="L1218" t="s">
        <v>18</v>
      </c>
      <c r="M1218" t="str">
        <f>"19991031"</f>
        <v>19991031</v>
      </c>
    </row>
    <row r="1219" spans="1:13" x14ac:dyDescent="0.25">
      <c r="A1219" t="str">
        <f>"00300363"</f>
        <v>00300363</v>
      </c>
      <c r="B1219" t="s">
        <v>2712</v>
      </c>
      <c r="C1219" t="s">
        <v>14</v>
      </c>
      <c r="D1219" t="s">
        <v>45</v>
      </c>
      <c r="E1219" t="s">
        <v>26</v>
      </c>
      <c r="F1219" t="s">
        <v>17</v>
      </c>
      <c r="G1219" t="str">
        <f>"02"</f>
        <v>02</v>
      </c>
      <c r="H1219" t="str">
        <f>"3  "</f>
        <v xml:space="preserve">3  </v>
      </c>
      <c r="I1219" t="str">
        <f>"2018/09/04"</f>
        <v>2018/09/04</v>
      </c>
      <c r="J1219" t="str">
        <f>"503"</f>
        <v>503</v>
      </c>
      <c r="K1219" t="str">
        <f>"20280422"</f>
        <v>20280422</v>
      </c>
      <c r="L1219" t="s">
        <v>18</v>
      </c>
      <c r="M1219" t="str">
        <f>"20170619"</f>
        <v>20170619</v>
      </c>
    </row>
    <row r="1220" spans="1:13" x14ac:dyDescent="0.25">
      <c r="A1220" t="str">
        <f>"00339625"</f>
        <v>00339625</v>
      </c>
      <c r="B1220" t="s">
        <v>2712</v>
      </c>
      <c r="C1220" t="s">
        <v>785</v>
      </c>
      <c r="D1220" t="s">
        <v>97</v>
      </c>
      <c r="E1220" t="s">
        <v>16</v>
      </c>
      <c r="F1220" t="s">
        <v>17</v>
      </c>
      <c r="G1220" t="str">
        <f>"02"</f>
        <v>02</v>
      </c>
      <c r="H1220" t="str">
        <f>"3  "</f>
        <v xml:space="preserve">3  </v>
      </c>
      <c r="I1220" t="str">
        <f>"2014/08/04"</f>
        <v>2014/08/04</v>
      </c>
      <c r="J1220" t="str">
        <f>"503"</f>
        <v>503</v>
      </c>
      <c r="K1220" t="str">
        <f>"20230830"</f>
        <v>20230830</v>
      </c>
      <c r="L1220" t="s">
        <v>18</v>
      </c>
      <c r="M1220" t="str">
        <f>"20090318"</f>
        <v>20090318</v>
      </c>
    </row>
    <row r="1221" spans="1:13" x14ac:dyDescent="0.25">
      <c r="A1221" t="str">
        <f>"00695618"</f>
        <v>00695618</v>
      </c>
      <c r="B1221" t="s">
        <v>2712</v>
      </c>
      <c r="C1221" t="s">
        <v>248</v>
      </c>
      <c r="D1221" t="s">
        <v>21</v>
      </c>
      <c r="E1221" t="s">
        <v>16</v>
      </c>
      <c r="F1221" t="s">
        <v>17</v>
      </c>
      <c r="G1221" t="str">
        <f>"02"</f>
        <v>02</v>
      </c>
      <c r="H1221" t="str">
        <f>"3  "</f>
        <v xml:space="preserve">3  </v>
      </c>
      <c r="I1221" t="str">
        <f>"2015/12/18"</f>
        <v>2015/12/18</v>
      </c>
      <c r="J1221" t="str">
        <f>"503"</f>
        <v>503</v>
      </c>
      <c r="K1221" t="str">
        <f>"20340508"</f>
        <v>20340508</v>
      </c>
      <c r="L1221" t="s">
        <v>18</v>
      </c>
      <c r="M1221" t="str">
        <f>"20131203"</f>
        <v>20131203</v>
      </c>
    </row>
    <row r="1222" spans="1:13" x14ac:dyDescent="0.25">
      <c r="A1222" t="str">
        <f>"00212110"</f>
        <v>00212110</v>
      </c>
      <c r="B1222" t="s">
        <v>2712</v>
      </c>
      <c r="C1222" t="s">
        <v>883</v>
      </c>
      <c r="D1222" t="s">
        <v>37</v>
      </c>
      <c r="E1222" t="s">
        <v>26</v>
      </c>
      <c r="F1222" t="s">
        <v>17</v>
      </c>
      <c r="G1222" t="str">
        <f>"02"</f>
        <v>02</v>
      </c>
      <c r="H1222" t="str">
        <f>"3  "</f>
        <v xml:space="preserve">3  </v>
      </c>
      <c r="I1222" t="str">
        <f>"2018/05/17"</f>
        <v>2018/05/17</v>
      </c>
      <c r="J1222" t="str">
        <f>"110"</f>
        <v>110</v>
      </c>
      <c r="K1222" t="str">
        <f>"20290123"</f>
        <v>20290123</v>
      </c>
      <c r="L1222" t="s">
        <v>18</v>
      </c>
      <c r="M1222" t="str">
        <f>"20180210"</f>
        <v>20180210</v>
      </c>
    </row>
    <row r="1223" spans="1:13" x14ac:dyDescent="0.25">
      <c r="A1223" t="str">
        <f>"00353571"</f>
        <v>00353571</v>
      </c>
      <c r="B1223" t="s">
        <v>2712</v>
      </c>
      <c r="C1223" t="s">
        <v>1775</v>
      </c>
      <c r="D1223" t="s">
        <v>40</v>
      </c>
      <c r="E1223" t="s">
        <v>26</v>
      </c>
      <c r="F1223" t="s">
        <v>17</v>
      </c>
      <c r="G1223" t="str">
        <f>"02"</f>
        <v>02</v>
      </c>
      <c r="H1223" t="str">
        <f>"7  "</f>
        <v xml:space="preserve">7  </v>
      </c>
      <c r="I1223" t="str">
        <f>"2005/10/07"</f>
        <v>2005/10/07</v>
      </c>
      <c r="J1223" t="str">
        <f>"503"</f>
        <v>503</v>
      </c>
      <c r="K1223" t="s">
        <v>18</v>
      </c>
      <c r="L1223" t="s">
        <v>18</v>
      </c>
      <c r="M1223" t="str">
        <f>"20041115"</f>
        <v>20041115</v>
      </c>
    </row>
    <row r="1224" spans="1:13" x14ac:dyDescent="0.25">
      <c r="A1224" t="str">
        <f>"00322529"</f>
        <v>00322529</v>
      </c>
      <c r="B1224" t="s">
        <v>2712</v>
      </c>
      <c r="C1224" t="s">
        <v>62</v>
      </c>
      <c r="D1224" t="s">
        <v>61</v>
      </c>
      <c r="E1224" t="s">
        <v>16</v>
      </c>
      <c r="F1224" t="s">
        <v>17</v>
      </c>
      <c r="G1224" t="str">
        <f>"02"</f>
        <v>02</v>
      </c>
      <c r="H1224" t="str">
        <f>"3  "</f>
        <v xml:space="preserve">3  </v>
      </c>
      <c r="I1224" t="str">
        <f>"2014/05/12"</f>
        <v>2014/05/12</v>
      </c>
      <c r="J1224" t="str">
        <f>"110"</f>
        <v>110</v>
      </c>
      <c r="K1224" t="str">
        <f>"20330128"</f>
        <v>20330128</v>
      </c>
      <c r="L1224" t="s">
        <v>18</v>
      </c>
      <c r="M1224" t="str">
        <f>"20130825"</f>
        <v>20130825</v>
      </c>
    </row>
    <row r="1225" spans="1:13" x14ac:dyDescent="0.25">
      <c r="A1225" t="str">
        <f>"00195367"</f>
        <v>00195367</v>
      </c>
      <c r="B1225" t="s">
        <v>2712</v>
      </c>
      <c r="C1225" t="s">
        <v>1200</v>
      </c>
      <c r="D1225" t="s">
        <v>37</v>
      </c>
      <c r="E1225" t="s">
        <v>26</v>
      </c>
      <c r="F1225" t="s">
        <v>17</v>
      </c>
      <c r="G1225" t="str">
        <f>"02"</f>
        <v>02</v>
      </c>
      <c r="H1225" t="str">
        <f>"7  "</f>
        <v xml:space="preserve">7  </v>
      </c>
      <c r="I1225" t="str">
        <f>"2006/06/26"</f>
        <v>2006/06/26</v>
      </c>
      <c r="J1225" t="str">
        <f>"503"</f>
        <v>503</v>
      </c>
      <c r="K1225" t="s">
        <v>18</v>
      </c>
      <c r="L1225" t="s">
        <v>18</v>
      </c>
      <c r="M1225" t="str">
        <f>"19990823"</f>
        <v>19990823</v>
      </c>
    </row>
    <row r="1226" spans="1:13" x14ac:dyDescent="0.25">
      <c r="A1226" t="str">
        <f>"00267546"</f>
        <v>00267546</v>
      </c>
      <c r="B1226" t="s">
        <v>2717</v>
      </c>
      <c r="C1226" t="s">
        <v>367</v>
      </c>
      <c r="D1226" t="s">
        <v>45</v>
      </c>
      <c r="E1226" t="s">
        <v>26</v>
      </c>
      <c r="F1226" t="s">
        <v>17</v>
      </c>
      <c r="G1226" t="str">
        <f>"02"</f>
        <v>02</v>
      </c>
      <c r="H1226" t="str">
        <f>"3  "</f>
        <v xml:space="preserve">3  </v>
      </c>
      <c r="I1226" t="str">
        <f>"2005/03/28"</f>
        <v>2005/03/28</v>
      </c>
      <c r="J1226" t="str">
        <f>"503"</f>
        <v>503</v>
      </c>
      <c r="K1226" t="str">
        <f>"21580707"</f>
        <v>21580707</v>
      </c>
      <c r="L1226" t="s">
        <v>18</v>
      </c>
      <c r="M1226" t="str">
        <f>"19910621"</f>
        <v>19910621</v>
      </c>
    </row>
    <row r="1227" spans="1:13" x14ac:dyDescent="0.25">
      <c r="A1227" t="str">
        <f>"00401731"</f>
        <v>00401731</v>
      </c>
      <c r="B1227" t="s">
        <v>2723</v>
      </c>
      <c r="C1227" t="s">
        <v>626</v>
      </c>
      <c r="D1227" t="s">
        <v>15</v>
      </c>
      <c r="E1227" t="s">
        <v>26</v>
      </c>
      <c r="F1227" t="s">
        <v>17</v>
      </c>
      <c r="G1227" t="str">
        <f>"02"</f>
        <v>02</v>
      </c>
      <c r="H1227" t="str">
        <f>"3  "</f>
        <v xml:space="preserve">3  </v>
      </c>
      <c r="I1227" t="str">
        <f>"2002/12/11"</f>
        <v>2002/12/11</v>
      </c>
      <c r="J1227" t="str">
        <f>"110"</f>
        <v>110</v>
      </c>
      <c r="K1227" t="str">
        <f>"20370607"</f>
        <v>20370607</v>
      </c>
      <c r="L1227" t="s">
        <v>18</v>
      </c>
      <c r="M1227" t="str">
        <f>"20010322"</f>
        <v>20010322</v>
      </c>
    </row>
    <row r="1228" spans="1:13" x14ac:dyDescent="0.25">
      <c r="A1228" t="str">
        <f>"00591638"</f>
        <v>00591638</v>
      </c>
      <c r="B1228" t="s">
        <v>2727</v>
      </c>
      <c r="C1228" t="s">
        <v>2728</v>
      </c>
      <c r="D1228" t="s">
        <v>25</v>
      </c>
      <c r="E1228" t="s">
        <v>26</v>
      </c>
      <c r="F1228" t="s">
        <v>17</v>
      </c>
      <c r="G1228" t="str">
        <f>"02"</f>
        <v>02</v>
      </c>
      <c r="H1228" t="str">
        <f>"3  "</f>
        <v xml:space="preserve">3  </v>
      </c>
      <c r="I1228" t="str">
        <f>"2018/09/06"</f>
        <v>2018/09/06</v>
      </c>
      <c r="J1228" t="str">
        <f>"110"</f>
        <v>110</v>
      </c>
      <c r="K1228" t="str">
        <f>"20230517"</f>
        <v>20230517</v>
      </c>
      <c r="L1228" t="s">
        <v>18</v>
      </c>
      <c r="M1228" t="str">
        <f>"20180201"</f>
        <v>20180201</v>
      </c>
    </row>
    <row r="1229" spans="1:13" x14ac:dyDescent="0.25">
      <c r="A1229" t="str">
        <f>"00552769"</f>
        <v>00552769</v>
      </c>
      <c r="B1229" t="s">
        <v>2735</v>
      </c>
      <c r="C1229" t="s">
        <v>545</v>
      </c>
      <c r="D1229" t="s">
        <v>25</v>
      </c>
      <c r="E1229" t="s">
        <v>16</v>
      </c>
      <c r="F1229" t="s">
        <v>17</v>
      </c>
      <c r="G1229" t="str">
        <f>"02"</f>
        <v>02</v>
      </c>
      <c r="H1229" t="str">
        <f>"3  "</f>
        <v xml:space="preserve">3  </v>
      </c>
      <c r="I1229" t="str">
        <f>"2014/05/29"</f>
        <v>2014/05/29</v>
      </c>
      <c r="J1229" t="str">
        <f>"110"</f>
        <v>110</v>
      </c>
      <c r="K1229" t="str">
        <f>"20270519"</f>
        <v>20270519</v>
      </c>
      <c r="L1229" t="s">
        <v>18</v>
      </c>
      <c r="M1229" t="str">
        <f>"20140423"</f>
        <v>20140423</v>
      </c>
    </row>
    <row r="1230" spans="1:13" x14ac:dyDescent="0.25">
      <c r="A1230" t="str">
        <f>"00510724"</f>
        <v>00510724</v>
      </c>
      <c r="B1230" t="s">
        <v>2737</v>
      </c>
      <c r="C1230" t="s">
        <v>22</v>
      </c>
      <c r="D1230" t="s">
        <v>61</v>
      </c>
      <c r="E1230" t="s">
        <v>16</v>
      </c>
      <c r="F1230" t="s">
        <v>17</v>
      </c>
      <c r="G1230" t="str">
        <f>"02"</f>
        <v>02</v>
      </c>
      <c r="H1230" t="str">
        <f>"3  "</f>
        <v xml:space="preserve">3  </v>
      </c>
      <c r="I1230" t="str">
        <f>"2014/01/17"</f>
        <v>2014/01/17</v>
      </c>
      <c r="J1230" t="str">
        <f>"510"</f>
        <v>510</v>
      </c>
      <c r="K1230" t="str">
        <f>"20220617"</f>
        <v>20220617</v>
      </c>
      <c r="L1230" t="s">
        <v>18</v>
      </c>
      <c r="M1230" t="str">
        <f>"20121004"</f>
        <v>20121004</v>
      </c>
    </row>
    <row r="1231" spans="1:13" x14ac:dyDescent="0.25">
      <c r="A1231" t="str">
        <f>"00158650"</f>
        <v>00158650</v>
      </c>
      <c r="B1231" t="s">
        <v>2738</v>
      </c>
      <c r="C1231" t="s">
        <v>2739</v>
      </c>
      <c r="D1231" t="s">
        <v>47</v>
      </c>
      <c r="E1231" t="s">
        <v>26</v>
      </c>
      <c r="F1231" t="s">
        <v>17</v>
      </c>
      <c r="G1231" t="str">
        <f>"02"</f>
        <v>02</v>
      </c>
      <c r="H1231" t="str">
        <f>"7  "</f>
        <v xml:space="preserve">7  </v>
      </c>
      <c r="I1231" t="str">
        <f>"2001/01/17"</f>
        <v>2001/01/17</v>
      </c>
      <c r="J1231" t="str">
        <f>"533"</f>
        <v>533</v>
      </c>
      <c r="K1231" t="s">
        <v>18</v>
      </c>
      <c r="L1231" t="str">
        <f>"20201202"</f>
        <v>20201202</v>
      </c>
      <c r="M1231" t="str">
        <f>"19830616"</f>
        <v>19830616</v>
      </c>
    </row>
    <row r="1232" spans="1:13" x14ac:dyDescent="0.25">
      <c r="A1232" t="str">
        <f>"00652371"</f>
        <v>00652371</v>
      </c>
      <c r="B1232" t="s">
        <v>2738</v>
      </c>
      <c r="C1232" t="s">
        <v>2740</v>
      </c>
      <c r="D1232" t="s">
        <v>25</v>
      </c>
      <c r="E1232" t="s">
        <v>26</v>
      </c>
      <c r="F1232" t="s">
        <v>17</v>
      </c>
      <c r="G1232" t="str">
        <f>"02"</f>
        <v>02</v>
      </c>
      <c r="H1232" t="str">
        <f>"7  "</f>
        <v xml:space="preserve">7  </v>
      </c>
      <c r="I1232" t="str">
        <f>"2009/09/09"</f>
        <v>2009/09/09</v>
      </c>
      <c r="J1232" t="str">
        <f>"110"</f>
        <v>110</v>
      </c>
      <c r="K1232" t="s">
        <v>18</v>
      </c>
      <c r="L1232" t="str">
        <f>"20250919"</f>
        <v>20250919</v>
      </c>
      <c r="M1232" t="str">
        <f>"20060319"</f>
        <v>20060319</v>
      </c>
    </row>
    <row r="1233" spans="1:13" x14ac:dyDescent="0.25">
      <c r="A1233" t="str">
        <f>"00620326"</f>
        <v>00620326</v>
      </c>
      <c r="B1233" t="s">
        <v>2747</v>
      </c>
      <c r="C1233" t="s">
        <v>484</v>
      </c>
      <c r="D1233" t="s">
        <v>21</v>
      </c>
      <c r="E1233" t="s">
        <v>16</v>
      </c>
      <c r="F1233" t="s">
        <v>17</v>
      </c>
      <c r="G1233" t="str">
        <f>"02"</f>
        <v>02</v>
      </c>
      <c r="H1233" t="str">
        <f>"3  "</f>
        <v xml:space="preserve">3  </v>
      </c>
      <c r="I1233" t="str">
        <f>"2009/08/24"</f>
        <v>2009/08/24</v>
      </c>
      <c r="J1233" t="str">
        <f>"510"</f>
        <v>510</v>
      </c>
      <c r="K1233" t="str">
        <f>"20261025"</f>
        <v>20261025</v>
      </c>
      <c r="L1233" t="s">
        <v>18</v>
      </c>
      <c r="M1233" t="str">
        <f>"20080612"</f>
        <v>20080612</v>
      </c>
    </row>
    <row r="1234" spans="1:13" x14ac:dyDescent="0.25">
      <c r="A1234" t="str">
        <f>"00367547"</f>
        <v>00367547</v>
      </c>
      <c r="B1234" t="s">
        <v>2748</v>
      </c>
      <c r="C1234" t="s">
        <v>320</v>
      </c>
      <c r="D1234" t="s">
        <v>15</v>
      </c>
      <c r="E1234" t="s">
        <v>16</v>
      </c>
      <c r="F1234" t="s">
        <v>17</v>
      </c>
      <c r="G1234" t="str">
        <f>"02"</f>
        <v>02</v>
      </c>
      <c r="H1234" t="str">
        <f>"3  "</f>
        <v xml:space="preserve">3  </v>
      </c>
      <c r="I1234" t="str">
        <f>"2020/09/02"</f>
        <v>2020/09/02</v>
      </c>
      <c r="J1234" t="str">
        <f>"533"</f>
        <v>533</v>
      </c>
      <c r="K1234" t="str">
        <f>"20381012"</f>
        <v>20381012</v>
      </c>
      <c r="L1234" t="s">
        <v>18</v>
      </c>
      <c r="M1234" t="str">
        <f>"20160524"</f>
        <v>20160524</v>
      </c>
    </row>
    <row r="1235" spans="1:13" x14ac:dyDescent="0.25">
      <c r="A1235" t="str">
        <f>"00475916"</f>
        <v>00475916</v>
      </c>
      <c r="B1235" t="s">
        <v>2751</v>
      </c>
      <c r="C1235" t="s">
        <v>2752</v>
      </c>
      <c r="D1235" t="s">
        <v>31</v>
      </c>
      <c r="E1235" t="s">
        <v>26</v>
      </c>
      <c r="F1235" t="s">
        <v>17</v>
      </c>
      <c r="G1235" t="str">
        <f>"02"</f>
        <v>02</v>
      </c>
      <c r="H1235" t="str">
        <f>"3  "</f>
        <v xml:space="preserve">3  </v>
      </c>
      <c r="I1235" t="str">
        <f>"2009/02/18"</f>
        <v>2009/02/18</v>
      </c>
      <c r="J1235" t="str">
        <f>"120"</f>
        <v>120</v>
      </c>
      <c r="K1235" t="str">
        <f>"20280226"</f>
        <v>20280226</v>
      </c>
      <c r="L1235" t="s">
        <v>18</v>
      </c>
      <c r="M1235" t="str">
        <f>"20080319"</f>
        <v>20080319</v>
      </c>
    </row>
    <row r="1236" spans="1:13" x14ac:dyDescent="0.25">
      <c r="A1236" t="str">
        <f>"00265950"</f>
        <v>00265950</v>
      </c>
      <c r="B1236" t="s">
        <v>2753</v>
      </c>
      <c r="C1236" t="s">
        <v>74</v>
      </c>
      <c r="D1236" t="s">
        <v>40</v>
      </c>
      <c r="E1236" t="s">
        <v>26</v>
      </c>
      <c r="F1236" t="s">
        <v>17</v>
      </c>
      <c r="G1236" t="str">
        <f>"02"</f>
        <v>02</v>
      </c>
      <c r="H1236" t="str">
        <f>"4  "</f>
        <v xml:space="preserve">4  </v>
      </c>
      <c r="I1236" t="str">
        <f>"1998/06/17"</f>
        <v>1998/06/17</v>
      </c>
      <c r="J1236" t="str">
        <f>"502"</f>
        <v>502</v>
      </c>
      <c r="K1236" t="str">
        <f>"20230519"</f>
        <v>20230519</v>
      </c>
      <c r="L1236" t="s">
        <v>18</v>
      </c>
      <c r="M1236" t="str">
        <f>"19970204"</f>
        <v>19970204</v>
      </c>
    </row>
    <row r="1237" spans="1:13" x14ac:dyDescent="0.25">
      <c r="A1237" t="str">
        <f>"00601552"</f>
        <v>00601552</v>
      </c>
      <c r="B1237" t="s">
        <v>2754</v>
      </c>
      <c r="C1237" t="s">
        <v>437</v>
      </c>
      <c r="D1237" t="s">
        <v>25</v>
      </c>
      <c r="E1237" t="s">
        <v>26</v>
      </c>
      <c r="F1237" t="s">
        <v>17</v>
      </c>
      <c r="G1237" t="str">
        <f>"02"</f>
        <v>02</v>
      </c>
      <c r="H1237" t="str">
        <f>"3  "</f>
        <v xml:space="preserve">3  </v>
      </c>
      <c r="I1237" t="str">
        <f>"2008/01/23"</f>
        <v>2008/01/23</v>
      </c>
      <c r="J1237" t="str">
        <f>"110"</f>
        <v>110</v>
      </c>
      <c r="K1237" t="str">
        <f>"20201009"</f>
        <v>20201009</v>
      </c>
      <c r="L1237" t="s">
        <v>18</v>
      </c>
      <c r="M1237" t="str">
        <f>"20070919"</f>
        <v>20070919</v>
      </c>
    </row>
    <row r="1238" spans="1:13" x14ac:dyDescent="0.25">
      <c r="A1238" t="str">
        <f>"00281224"</f>
        <v>00281224</v>
      </c>
      <c r="B1238" t="s">
        <v>2756</v>
      </c>
      <c r="C1238" t="s">
        <v>55</v>
      </c>
      <c r="D1238" t="s">
        <v>40</v>
      </c>
      <c r="E1238" t="s">
        <v>16</v>
      </c>
      <c r="F1238" t="s">
        <v>17</v>
      </c>
      <c r="G1238" t="str">
        <f>"02"</f>
        <v>02</v>
      </c>
      <c r="H1238" t="str">
        <f>"3  "</f>
        <v xml:space="preserve">3  </v>
      </c>
      <c r="I1238" t="str">
        <f>"2000/12/01"</f>
        <v>2000/12/01</v>
      </c>
      <c r="J1238" t="str">
        <f>"114"</f>
        <v>114</v>
      </c>
      <c r="K1238" t="str">
        <f>"20240901"</f>
        <v>20240901</v>
      </c>
      <c r="L1238" t="s">
        <v>18</v>
      </c>
      <c r="M1238" t="str">
        <f>"19991001"</f>
        <v>19991001</v>
      </c>
    </row>
    <row r="1239" spans="1:13" x14ac:dyDescent="0.25">
      <c r="A1239" t="str">
        <f>"00275506"</f>
        <v>00275506</v>
      </c>
      <c r="B1239" t="s">
        <v>2758</v>
      </c>
      <c r="C1239" t="s">
        <v>437</v>
      </c>
      <c r="D1239" t="s">
        <v>25</v>
      </c>
      <c r="E1239" t="s">
        <v>26</v>
      </c>
      <c r="F1239" t="s">
        <v>17</v>
      </c>
      <c r="G1239" t="str">
        <f>"02"</f>
        <v>02</v>
      </c>
      <c r="H1239" t="str">
        <f>"3  "</f>
        <v xml:space="preserve">3  </v>
      </c>
      <c r="I1239" t="str">
        <f>"2020/03/02"</f>
        <v>2020/03/02</v>
      </c>
      <c r="J1239" t="str">
        <f>"510"</f>
        <v>510</v>
      </c>
      <c r="K1239" t="str">
        <f>"20261005"</f>
        <v>20261005</v>
      </c>
      <c r="L1239" t="s">
        <v>18</v>
      </c>
      <c r="M1239" t="str">
        <f>"20190709"</f>
        <v>20190709</v>
      </c>
    </row>
    <row r="1240" spans="1:13" x14ac:dyDescent="0.25">
      <c r="A1240" t="str">
        <f>"00155813"</f>
        <v>00155813</v>
      </c>
      <c r="B1240" t="s">
        <v>2758</v>
      </c>
      <c r="C1240" t="s">
        <v>385</v>
      </c>
      <c r="D1240" t="s">
        <v>97</v>
      </c>
      <c r="E1240" t="s">
        <v>26</v>
      </c>
      <c r="F1240" t="s">
        <v>17</v>
      </c>
      <c r="G1240" t="str">
        <f>"02"</f>
        <v>02</v>
      </c>
      <c r="H1240" t="str">
        <f>"7  "</f>
        <v xml:space="preserve">7  </v>
      </c>
      <c r="I1240" t="str">
        <f>"1988/03/04"</f>
        <v>1988/03/04</v>
      </c>
      <c r="J1240" t="str">
        <f>"510"</f>
        <v>510</v>
      </c>
      <c r="K1240" t="s">
        <v>18</v>
      </c>
      <c r="L1240" t="str">
        <f>"20461118"</f>
        <v>20461118</v>
      </c>
      <c r="M1240" t="str">
        <f>"19870115"</f>
        <v>19870115</v>
      </c>
    </row>
    <row r="1241" spans="1:13" x14ac:dyDescent="0.25">
      <c r="A1241" t="str">
        <f>"00194133"</f>
        <v>00194133</v>
      </c>
      <c r="B1241" t="s">
        <v>2758</v>
      </c>
      <c r="C1241" t="s">
        <v>2760</v>
      </c>
      <c r="D1241" t="s">
        <v>45</v>
      </c>
      <c r="E1241" t="s">
        <v>26</v>
      </c>
      <c r="F1241" t="s">
        <v>17</v>
      </c>
      <c r="G1241" t="str">
        <f>"02"</f>
        <v>02</v>
      </c>
      <c r="H1241" t="str">
        <f>"7  "</f>
        <v xml:space="preserve">7  </v>
      </c>
      <c r="I1241" t="str">
        <f>"2002/05/10"</f>
        <v>2002/05/10</v>
      </c>
      <c r="J1241" t="str">
        <f>"503"</f>
        <v>503</v>
      </c>
      <c r="K1241" t="s">
        <v>18</v>
      </c>
      <c r="L1241" t="str">
        <f>"20080601"</f>
        <v>20080601</v>
      </c>
      <c r="M1241" t="str">
        <f>"19860524"</f>
        <v>19860524</v>
      </c>
    </row>
    <row r="1242" spans="1:13" x14ac:dyDescent="0.25">
      <c r="A1242" t="str">
        <f>"00116684"</f>
        <v>00116684</v>
      </c>
      <c r="B1242" t="s">
        <v>2758</v>
      </c>
      <c r="C1242" t="s">
        <v>64</v>
      </c>
      <c r="D1242" t="s">
        <v>16</v>
      </c>
      <c r="E1242" t="s">
        <v>26</v>
      </c>
      <c r="F1242" t="s">
        <v>17</v>
      </c>
      <c r="G1242" t="str">
        <f>"02"</f>
        <v>02</v>
      </c>
      <c r="H1242" t="str">
        <f>"7  "</f>
        <v xml:space="preserve">7  </v>
      </c>
      <c r="I1242" t="str">
        <f>"1989/11/13"</f>
        <v>1989/11/13</v>
      </c>
      <c r="J1242" t="str">
        <f>"510"</f>
        <v>510</v>
      </c>
      <c r="K1242" t="s">
        <v>18</v>
      </c>
      <c r="L1242" t="str">
        <f>"20031130"</f>
        <v>20031130</v>
      </c>
      <c r="M1242" t="str">
        <f>"19880823"</f>
        <v>19880823</v>
      </c>
    </row>
    <row r="1243" spans="1:13" x14ac:dyDescent="0.25">
      <c r="A1243" t="str">
        <f>"00245877"</f>
        <v>00245877</v>
      </c>
      <c r="B1243" t="s">
        <v>2761</v>
      </c>
      <c r="C1243" t="s">
        <v>2762</v>
      </c>
      <c r="D1243" t="s">
        <v>15</v>
      </c>
      <c r="E1243" t="s">
        <v>26</v>
      </c>
      <c r="F1243" t="s">
        <v>17</v>
      </c>
      <c r="G1243" t="str">
        <f>"02"</f>
        <v>02</v>
      </c>
      <c r="H1243" t="str">
        <f>"3  "</f>
        <v xml:space="preserve">3  </v>
      </c>
      <c r="I1243" t="str">
        <f>"2020/09/02"</f>
        <v>2020/09/02</v>
      </c>
      <c r="J1243" t="str">
        <f>"533"</f>
        <v>533</v>
      </c>
      <c r="K1243" t="str">
        <f>"20260215"</f>
        <v>20260215</v>
      </c>
      <c r="L1243" t="s">
        <v>18</v>
      </c>
      <c r="M1243" t="str">
        <f>"20170210"</f>
        <v>20170210</v>
      </c>
    </row>
    <row r="1244" spans="1:13" x14ac:dyDescent="0.25">
      <c r="A1244" t="str">
        <f>"00178191"</f>
        <v>00178191</v>
      </c>
      <c r="B1244" t="s">
        <v>2764</v>
      </c>
      <c r="C1244" t="s">
        <v>2765</v>
      </c>
      <c r="D1244" t="s">
        <v>15</v>
      </c>
      <c r="E1244" t="s">
        <v>16</v>
      </c>
      <c r="F1244" t="s">
        <v>17</v>
      </c>
      <c r="G1244" t="str">
        <f>"02"</f>
        <v>02</v>
      </c>
      <c r="H1244" t="str">
        <f>"3  "</f>
        <v xml:space="preserve">3  </v>
      </c>
      <c r="I1244" t="str">
        <f>"2019/06/28"</f>
        <v>2019/06/28</v>
      </c>
      <c r="J1244" t="str">
        <f>"510"</f>
        <v>510</v>
      </c>
      <c r="K1244" t="str">
        <f>"20450320"</f>
        <v>20450320</v>
      </c>
      <c r="L1244" t="s">
        <v>18</v>
      </c>
      <c r="M1244" t="str">
        <f>"20180323"</f>
        <v>20180323</v>
      </c>
    </row>
    <row r="1245" spans="1:13" x14ac:dyDescent="0.25">
      <c r="A1245" t="str">
        <f>"00121093"</f>
        <v>00121093</v>
      </c>
      <c r="B1245" t="s">
        <v>2768</v>
      </c>
      <c r="C1245" t="s">
        <v>2769</v>
      </c>
      <c r="D1245" t="s">
        <v>80</v>
      </c>
      <c r="E1245" t="s">
        <v>26</v>
      </c>
      <c r="F1245" t="s">
        <v>17</v>
      </c>
      <c r="G1245" t="str">
        <f>"02"</f>
        <v>02</v>
      </c>
      <c r="H1245" t="str">
        <f>"7  "</f>
        <v xml:space="preserve">7  </v>
      </c>
      <c r="I1245" t="str">
        <f>"2001/01/24"</f>
        <v>2001/01/24</v>
      </c>
      <c r="J1245" t="str">
        <f>"533"</f>
        <v>533</v>
      </c>
      <c r="K1245" t="s">
        <v>18</v>
      </c>
      <c r="L1245" t="s">
        <v>18</v>
      </c>
      <c r="M1245" t="str">
        <f>"19911119"</f>
        <v>19911119</v>
      </c>
    </row>
    <row r="1246" spans="1:13" x14ac:dyDescent="0.25">
      <c r="A1246" t="str">
        <f>"00536834"</f>
        <v>00536834</v>
      </c>
      <c r="B1246" t="s">
        <v>2772</v>
      </c>
      <c r="C1246" t="s">
        <v>882</v>
      </c>
      <c r="D1246" t="s">
        <v>16</v>
      </c>
      <c r="E1246" t="s">
        <v>16</v>
      </c>
      <c r="F1246" t="s">
        <v>17</v>
      </c>
      <c r="G1246" t="str">
        <f>"02"</f>
        <v>02</v>
      </c>
      <c r="H1246" t="str">
        <f>"3  "</f>
        <v xml:space="preserve">3  </v>
      </c>
      <c r="I1246" t="str">
        <f>"2018/12/14"</f>
        <v>2018/12/14</v>
      </c>
      <c r="J1246" t="str">
        <f>"503"</f>
        <v>503</v>
      </c>
      <c r="K1246" t="str">
        <f>"20440923"</f>
        <v>20440923</v>
      </c>
      <c r="L1246" t="s">
        <v>18</v>
      </c>
      <c r="M1246" t="str">
        <f>"20170929"</f>
        <v>20170929</v>
      </c>
    </row>
    <row r="1247" spans="1:13" x14ac:dyDescent="0.25">
      <c r="A1247" t="str">
        <f>"00641310"</f>
        <v>00641310</v>
      </c>
      <c r="B1247" t="s">
        <v>2773</v>
      </c>
      <c r="C1247" t="s">
        <v>2774</v>
      </c>
      <c r="D1247" t="s">
        <v>51</v>
      </c>
      <c r="E1247" t="s">
        <v>26</v>
      </c>
      <c r="F1247" t="s">
        <v>17</v>
      </c>
      <c r="G1247" t="str">
        <f>"02"</f>
        <v>02</v>
      </c>
      <c r="H1247" t="str">
        <f>"3  "</f>
        <v xml:space="preserve">3  </v>
      </c>
      <c r="I1247" t="str">
        <f>"2010/09/30"</f>
        <v>2010/09/30</v>
      </c>
      <c r="J1247" t="str">
        <f>"510"</f>
        <v>510</v>
      </c>
      <c r="K1247" t="str">
        <f>"20270302"</f>
        <v>20270302</v>
      </c>
      <c r="L1247" t="s">
        <v>18</v>
      </c>
      <c r="M1247" t="str">
        <f>"20090408"</f>
        <v>20090408</v>
      </c>
    </row>
    <row r="1248" spans="1:13" x14ac:dyDescent="0.25">
      <c r="A1248" t="str">
        <f>"00199603"</f>
        <v>00199603</v>
      </c>
      <c r="B1248" t="s">
        <v>2775</v>
      </c>
      <c r="C1248" t="s">
        <v>2776</v>
      </c>
      <c r="D1248" t="s">
        <v>40</v>
      </c>
      <c r="E1248" t="s">
        <v>26</v>
      </c>
      <c r="F1248" t="s">
        <v>17</v>
      </c>
      <c r="G1248" t="str">
        <f>"02"</f>
        <v>02</v>
      </c>
      <c r="H1248" t="str">
        <f>"3  "</f>
        <v xml:space="preserve">3  </v>
      </c>
      <c r="I1248" t="str">
        <f>"1998/01/23"</f>
        <v>1998/01/23</v>
      </c>
      <c r="J1248" t="str">
        <f>"510"</f>
        <v>510</v>
      </c>
      <c r="K1248" t="str">
        <f>"20430720"</f>
        <v>20430720</v>
      </c>
      <c r="L1248" t="s">
        <v>18</v>
      </c>
      <c r="M1248" t="str">
        <f>"19971027"</f>
        <v>19971027</v>
      </c>
    </row>
    <row r="1249" spans="1:13" x14ac:dyDescent="0.25">
      <c r="A1249" t="str">
        <f>"00362099"</f>
        <v>00362099</v>
      </c>
      <c r="B1249" t="s">
        <v>2777</v>
      </c>
      <c r="C1249" t="s">
        <v>14</v>
      </c>
      <c r="D1249" t="s">
        <v>25</v>
      </c>
      <c r="E1249" t="s">
        <v>16</v>
      </c>
      <c r="F1249" t="s">
        <v>17</v>
      </c>
      <c r="G1249" t="str">
        <f>"02"</f>
        <v>02</v>
      </c>
      <c r="H1249" t="str">
        <f>"3  "</f>
        <v xml:space="preserve">3  </v>
      </c>
      <c r="I1249" t="str">
        <f>"2013/09/09"</f>
        <v>2013/09/09</v>
      </c>
      <c r="J1249" t="str">
        <f>"510"</f>
        <v>510</v>
      </c>
      <c r="K1249" t="str">
        <f>"20241227"</f>
        <v>20241227</v>
      </c>
      <c r="L1249" t="s">
        <v>18</v>
      </c>
      <c r="M1249" t="str">
        <f>"20110214"</f>
        <v>20110214</v>
      </c>
    </row>
    <row r="1250" spans="1:13" x14ac:dyDescent="0.25">
      <c r="A1250" t="str">
        <f>"00164131"</f>
        <v>00164131</v>
      </c>
      <c r="B1250" t="s">
        <v>2780</v>
      </c>
      <c r="C1250" t="s">
        <v>248</v>
      </c>
      <c r="D1250" t="s">
        <v>21</v>
      </c>
      <c r="E1250" t="s">
        <v>16</v>
      </c>
      <c r="F1250" t="s">
        <v>17</v>
      </c>
      <c r="G1250" t="str">
        <f>"02"</f>
        <v>02</v>
      </c>
      <c r="H1250" t="str">
        <f>"3  "</f>
        <v xml:space="preserve">3  </v>
      </c>
      <c r="I1250" t="str">
        <f>"2002/10/07"</f>
        <v>2002/10/07</v>
      </c>
      <c r="J1250" t="str">
        <f>"533"</f>
        <v>533</v>
      </c>
      <c r="K1250" t="str">
        <f>"20570610"</f>
        <v>20570610</v>
      </c>
      <c r="L1250" t="str">
        <f>"20160829"</f>
        <v>20160829</v>
      </c>
      <c r="M1250" t="str">
        <f>"19821007"</f>
        <v>19821007</v>
      </c>
    </row>
    <row r="1251" spans="1:13" x14ac:dyDescent="0.25">
      <c r="A1251" t="str">
        <f>"00403380"</f>
        <v>00403380</v>
      </c>
      <c r="B1251" t="s">
        <v>2781</v>
      </c>
      <c r="C1251" t="s">
        <v>74</v>
      </c>
      <c r="D1251" t="s">
        <v>25</v>
      </c>
      <c r="E1251" t="s">
        <v>26</v>
      </c>
      <c r="F1251" t="s">
        <v>17</v>
      </c>
      <c r="G1251" t="str">
        <f>"02"</f>
        <v>02</v>
      </c>
      <c r="H1251" t="str">
        <f>"3  "</f>
        <v xml:space="preserve">3  </v>
      </c>
      <c r="I1251" t="str">
        <f>"2010/10/11"</f>
        <v>2010/10/11</v>
      </c>
      <c r="J1251" t="str">
        <f>"510"</f>
        <v>510</v>
      </c>
      <c r="K1251" t="str">
        <f>"20560730"</f>
        <v>20560730</v>
      </c>
      <c r="L1251" t="s">
        <v>18</v>
      </c>
      <c r="M1251" t="str">
        <f>"20081231"</f>
        <v>20081231</v>
      </c>
    </row>
    <row r="1252" spans="1:13" x14ac:dyDescent="0.25">
      <c r="A1252" t="str">
        <f>"00520502"</f>
        <v>00520502</v>
      </c>
      <c r="B1252" t="s">
        <v>2781</v>
      </c>
      <c r="C1252" t="s">
        <v>74</v>
      </c>
      <c r="D1252" t="s">
        <v>25</v>
      </c>
      <c r="E1252" t="s">
        <v>26</v>
      </c>
      <c r="F1252" t="s">
        <v>17</v>
      </c>
      <c r="G1252" t="str">
        <f>"02"</f>
        <v>02</v>
      </c>
      <c r="H1252" t="str">
        <f>"3  "</f>
        <v xml:space="preserve">3  </v>
      </c>
      <c r="I1252" t="str">
        <f>"2016/07/21"</f>
        <v>2016/07/21</v>
      </c>
      <c r="J1252" t="str">
        <f>"110"</f>
        <v>110</v>
      </c>
      <c r="K1252" t="str">
        <f>"20220302"</f>
        <v>20220302</v>
      </c>
      <c r="L1252" t="s">
        <v>18</v>
      </c>
      <c r="M1252" t="str">
        <f>"20151020"</f>
        <v>20151020</v>
      </c>
    </row>
    <row r="1253" spans="1:13" x14ac:dyDescent="0.25">
      <c r="A1253" t="str">
        <f>"00107387"</f>
        <v>00107387</v>
      </c>
      <c r="B1253" t="s">
        <v>2784</v>
      </c>
      <c r="C1253" t="s">
        <v>59</v>
      </c>
      <c r="D1253" t="s">
        <v>61</v>
      </c>
      <c r="E1253" t="s">
        <v>16</v>
      </c>
      <c r="F1253" t="s">
        <v>17</v>
      </c>
      <c r="G1253" t="str">
        <f>"02"</f>
        <v>02</v>
      </c>
      <c r="H1253" t="str">
        <f>"3  "</f>
        <v xml:space="preserve">3  </v>
      </c>
      <c r="I1253" t="str">
        <f>"2020/07/05"</f>
        <v>2020/07/05</v>
      </c>
      <c r="J1253" t="str">
        <f>"503"</f>
        <v>503</v>
      </c>
      <c r="K1253" t="str">
        <f>"20211110"</f>
        <v>20211110</v>
      </c>
      <c r="L1253" t="s">
        <v>18</v>
      </c>
      <c r="M1253" t="str">
        <f>"20181003"</f>
        <v>20181003</v>
      </c>
    </row>
    <row r="1254" spans="1:13" x14ac:dyDescent="0.25">
      <c r="A1254" t="str">
        <f>"00128366"</f>
        <v>00128366</v>
      </c>
      <c r="B1254" t="s">
        <v>2785</v>
      </c>
      <c r="C1254" t="s">
        <v>96</v>
      </c>
      <c r="D1254" t="s">
        <v>25</v>
      </c>
      <c r="E1254" t="s">
        <v>26</v>
      </c>
      <c r="F1254" t="s">
        <v>17</v>
      </c>
      <c r="G1254" t="str">
        <f>"02"</f>
        <v>02</v>
      </c>
      <c r="H1254" t="str">
        <f>"7  "</f>
        <v xml:space="preserve">7  </v>
      </c>
      <c r="I1254" t="str">
        <f>"1991/04/26"</f>
        <v>1991/04/26</v>
      </c>
      <c r="J1254" t="str">
        <f>"114"</f>
        <v>114</v>
      </c>
      <c r="K1254" t="s">
        <v>18</v>
      </c>
      <c r="L1254" t="str">
        <f>"20190601"</f>
        <v>20190601</v>
      </c>
      <c r="M1254" t="str">
        <f>"19890829"</f>
        <v>19890829</v>
      </c>
    </row>
    <row r="1255" spans="1:13" x14ac:dyDescent="0.25">
      <c r="A1255" t="str">
        <f>"00382964"</f>
        <v>00382964</v>
      </c>
      <c r="B1255" t="s">
        <v>2791</v>
      </c>
      <c r="C1255" t="s">
        <v>2792</v>
      </c>
      <c r="D1255" t="s">
        <v>26</v>
      </c>
      <c r="E1255" t="s">
        <v>26</v>
      </c>
      <c r="F1255" t="s">
        <v>17</v>
      </c>
      <c r="G1255" t="str">
        <f>"02"</f>
        <v>02</v>
      </c>
      <c r="H1255" t="str">
        <f>"4  "</f>
        <v xml:space="preserve">4  </v>
      </c>
      <c r="I1255" t="str">
        <f>"2002/06/05"</f>
        <v>2002/06/05</v>
      </c>
      <c r="J1255" t="str">
        <f>"502"</f>
        <v>502</v>
      </c>
      <c r="K1255" t="str">
        <f>"20270618"</f>
        <v>20270618</v>
      </c>
      <c r="L1255" t="s">
        <v>18</v>
      </c>
      <c r="M1255" t="str">
        <f>"19990429"</f>
        <v>19990429</v>
      </c>
    </row>
    <row r="1256" spans="1:13" x14ac:dyDescent="0.25">
      <c r="A1256" t="str">
        <f>"00476787"</f>
        <v>00476787</v>
      </c>
      <c r="B1256" t="s">
        <v>2791</v>
      </c>
      <c r="C1256" t="s">
        <v>325</v>
      </c>
      <c r="D1256" t="s">
        <v>26</v>
      </c>
      <c r="E1256" t="s">
        <v>16</v>
      </c>
      <c r="F1256" t="s">
        <v>17</v>
      </c>
      <c r="G1256" t="str">
        <f>"02"</f>
        <v>02</v>
      </c>
      <c r="H1256" t="str">
        <f>"3  "</f>
        <v xml:space="preserve">3  </v>
      </c>
      <c r="I1256" t="str">
        <f>"2019/03/22"</f>
        <v>2019/03/22</v>
      </c>
      <c r="J1256" t="str">
        <f>"510"</f>
        <v>510</v>
      </c>
      <c r="K1256" t="str">
        <f>"20261021"</f>
        <v>20261021</v>
      </c>
      <c r="L1256" t="s">
        <v>18</v>
      </c>
      <c r="M1256" t="str">
        <f>"20171018"</f>
        <v>20171018</v>
      </c>
    </row>
    <row r="1257" spans="1:13" x14ac:dyDescent="0.25">
      <c r="A1257" t="str">
        <f>"00188362"</f>
        <v>00188362</v>
      </c>
      <c r="B1257" t="s">
        <v>2791</v>
      </c>
      <c r="C1257" t="s">
        <v>627</v>
      </c>
      <c r="D1257" t="s">
        <v>51</v>
      </c>
      <c r="E1257" t="s">
        <v>16</v>
      </c>
      <c r="F1257" t="s">
        <v>17</v>
      </c>
      <c r="G1257" t="str">
        <f>"02"</f>
        <v>02</v>
      </c>
      <c r="H1257" t="str">
        <f>"7  "</f>
        <v xml:space="preserve">7  </v>
      </c>
      <c r="I1257" t="str">
        <f>"1991/02/28"</f>
        <v>1991/02/28</v>
      </c>
      <c r="J1257" t="str">
        <f>"510"</f>
        <v>510</v>
      </c>
      <c r="K1257" t="s">
        <v>18</v>
      </c>
      <c r="L1257" t="s">
        <v>18</v>
      </c>
      <c r="M1257" t="str">
        <f>"19900206"</f>
        <v>19900206</v>
      </c>
    </row>
    <row r="1258" spans="1:13" x14ac:dyDescent="0.25">
      <c r="A1258" t="str">
        <f>"00133626"</f>
        <v>00133626</v>
      </c>
      <c r="B1258" t="s">
        <v>2793</v>
      </c>
      <c r="C1258" t="s">
        <v>671</v>
      </c>
      <c r="D1258" t="s">
        <v>47</v>
      </c>
      <c r="E1258" t="s">
        <v>26</v>
      </c>
      <c r="F1258" t="s">
        <v>17</v>
      </c>
      <c r="G1258" t="str">
        <f>"02"</f>
        <v>02</v>
      </c>
      <c r="H1258" t="str">
        <f>"7  "</f>
        <v xml:space="preserve">7  </v>
      </c>
      <c r="I1258" t="str">
        <f>"2019/12/03"</f>
        <v>2019/12/03</v>
      </c>
      <c r="J1258" t="str">
        <f>"510"</f>
        <v>510</v>
      </c>
      <c r="K1258" t="s">
        <v>18</v>
      </c>
      <c r="L1258" t="s">
        <v>18</v>
      </c>
      <c r="M1258" t="str">
        <f>"20190711"</f>
        <v>20190711</v>
      </c>
    </row>
    <row r="1259" spans="1:13" x14ac:dyDescent="0.25">
      <c r="A1259" t="str">
        <f>"00464723"</f>
        <v>00464723</v>
      </c>
      <c r="B1259" t="s">
        <v>2795</v>
      </c>
      <c r="C1259" t="s">
        <v>2703</v>
      </c>
      <c r="D1259" t="s">
        <v>25</v>
      </c>
      <c r="E1259" t="s">
        <v>16</v>
      </c>
      <c r="F1259" t="s">
        <v>17</v>
      </c>
      <c r="G1259" t="str">
        <f>"02"</f>
        <v>02</v>
      </c>
      <c r="H1259" t="str">
        <f>"3  "</f>
        <v xml:space="preserve">3  </v>
      </c>
      <c r="I1259" t="str">
        <f>"2002/05/30"</f>
        <v>2002/05/30</v>
      </c>
      <c r="J1259" t="str">
        <f>"110"</f>
        <v>110</v>
      </c>
      <c r="K1259" t="s">
        <v>18</v>
      </c>
      <c r="L1259" t="s">
        <v>18</v>
      </c>
      <c r="M1259" t="str">
        <f>"20010801"</f>
        <v>20010801</v>
      </c>
    </row>
    <row r="1260" spans="1:13" x14ac:dyDescent="0.25">
      <c r="A1260" t="str">
        <f>"00488671"</f>
        <v>00488671</v>
      </c>
      <c r="B1260" t="s">
        <v>2802</v>
      </c>
      <c r="C1260" t="s">
        <v>1829</v>
      </c>
      <c r="D1260" t="s">
        <v>25</v>
      </c>
      <c r="E1260" t="s">
        <v>26</v>
      </c>
      <c r="F1260" t="s">
        <v>17</v>
      </c>
      <c r="G1260" t="str">
        <f>"02"</f>
        <v>02</v>
      </c>
      <c r="H1260" t="str">
        <f>"3  "</f>
        <v xml:space="preserve">3  </v>
      </c>
      <c r="I1260" t="str">
        <f>"2015/08/24"</f>
        <v>2015/08/24</v>
      </c>
      <c r="J1260" t="str">
        <f>"510"</f>
        <v>510</v>
      </c>
      <c r="K1260" t="str">
        <f>"20220629"</f>
        <v>20220629</v>
      </c>
      <c r="L1260" t="s">
        <v>18</v>
      </c>
      <c r="M1260" t="str">
        <f>"20140918"</f>
        <v>20140918</v>
      </c>
    </row>
    <row r="1261" spans="1:13" x14ac:dyDescent="0.25">
      <c r="A1261" t="str">
        <f>"00220592"</f>
        <v>00220592</v>
      </c>
      <c r="B1261" t="s">
        <v>2805</v>
      </c>
      <c r="C1261" t="s">
        <v>767</v>
      </c>
      <c r="D1261" t="s">
        <v>16</v>
      </c>
      <c r="E1261" t="s">
        <v>16</v>
      </c>
      <c r="F1261" t="s">
        <v>17</v>
      </c>
      <c r="G1261" t="str">
        <f>"02"</f>
        <v>02</v>
      </c>
      <c r="H1261" t="str">
        <f>"7  "</f>
        <v xml:space="preserve">7  </v>
      </c>
      <c r="I1261" t="str">
        <f>"2001/10/05"</f>
        <v>2001/10/05</v>
      </c>
      <c r="J1261" t="str">
        <f>"114"</f>
        <v>114</v>
      </c>
      <c r="K1261" t="s">
        <v>18</v>
      </c>
      <c r="L1261" t="s">
        <v>18</v>
      </c>
      <c r="M1261" t="str">
        <f>"20000209"</f>
        <v>20000209</v>
      </c>
    </row>
    <row r="1262" spans="1:13" x14ac:dyDescent="0.25">
      <c r="A1262" t="str">
        <f>"00512270"</f>
        <v>00512270</v>
      </c>
      <c r="B1262" t="s">
        <v>2806</v>
      </c>
      <c r="C1262" t="s">
        <v>1775</v>
      </c>
      <c r="D1262" t="s">
        <v>16</v>
      </c>
      <c r="E1262" t="s">
        <v>16</v>
      </c>
      <c r="F1262" t="s">
        <v>17</v>
      </c>
      <c r="G1262" t="str">
        <f>"02"</f>
        <v>02</v>
      </c>
      <c r="H1262" t="str">
        <f>"3  "</f>
        <v xml:space="preserve">3  </v>
      </c>
      <c r="I1262" t="str">
        <f>"2008/06/18"</f>
        <v>2008/06/18</v>
      </c>
      <c r="J1262" t="str">
        <f>"110"</f>
        <v>110</v>
      </c>
      <c r="K1262" t="str">
        <f>"20360130"</f>
        <v>20360130</v>
      </c>
      <c r="L1262" t="s">
        <v>18</v>
      </c>
      <c r="M1262" t="str">
        <f>"20070208"</f>
        <v>20070208</v>
      </c>
    </row>
    <row r="1263" spans="1:13" x14ac:dyDescent="0.25">
      <c r="A1263" t="str">
        <f>"00256624"</f>
        <v>00256624</v>
      </c>
      <c r="B1263" t="s">
        <v>2809</v>
      </c>
      <c r="C1263" t="s">
        <v>308</v>
      </c>
      <c r="D1263" t="s">
        <v>31</v>
      </c>
      <c r="E1263" t="s">
        <v>16</v>
      </c>
      <c r="F1263" t="s">
        <v>17</v>
      </c>
      <c r="G1263" t="str">
        <f>"02"</f>
        <v>02</v>
      </c>
      <c r="H1263" t="str">
        <f>"3  "</f>
        <v xml:space="preserve">3  </v>
      </c>
      <c r="I1263" t="str">
        <f>"2020/06/16"</f>
        <v>2020/06/16</v>
      </c>
      <c r="J1263" t="str">
        <f>"534"</f>
        <v>534</v>
      </c>
      <c r="K1263" t="str">
        <f>"20210403"</f>
        <v>20210403</v>
      </c>
      <c r="L1263" t="s">
        <v>18</v>
      </c>
      <c r="M1263" t="str">
        <f>"20140327"</f>
        <v>20140327</v>
      </c>
    </row>
    <row r="1264" spans="1:13" x14ac:dyDescent="0.25">
      <c r="A1264" t="str">
        <f>"00694595"</f>
        <v>00694595</v>
      </c>
      <c r="B1264" t="s">
        <v>2810</v>
      </c>
      <c r="C1264" t="s">
        <v>1844</v>
      </c>
      <c r="D1264" t="s">
        <v>21</v>
      </c>
      <c r="E1264" t="s">
        <v>26</v>
      </c>
      <c r="F1264" t="s">
        <v>17</v>
      </c>
      <c r="G1264" t="str">
        <f>"02"</f>
        <v>02</v>
      </c>
      <c r="H1264" t="str">
        <f>"3  "</f>
        <v xml:space="preserve">3  </v>
      </c>
      <c r="I1264" t="str">
        <f>"2016/10/28"</f>
        <v>2016/10/28</v>
      </c>
      <c r="J1264" t="str">
        <f>"510"</f>
        <v>510</v>
      </c>
      <c r="K1264" t="str">
        <f>"20280803"</f>
        <v>20280803</v>
      </c>
      <c r="L1264" t="s">
        <v>18</v>
      </c>
      <c r="M1264" t="str">
        <f>"20150123"</f>
        <v>20150123</v>
      </c>
    </row>
    <row r="1265" spans="1:13" x14ac:dyDescent="0.25">
      <c r="A1265" t="str">
        <f>"00628641"</f>
        <v>00628641</v>
      </c>
      <c r="B1265" t="s">
        <v>2813</v>
      </c>
      <c r="C1265" t="s">
        <v>2814</v>
      </c>
      <c r="D1265" t="s">
        <v>21</v>
      </c>
      <c r="E1265" t="s">
        <v>26</v>
      </c>
      <c r="F1265" t="s">
        <v>17</v>
      </c>
      <c r="G1265" t="str">
        <f>"02"</f>
        <v>02</v>
      </c>
      <c r="H1265" t="str">
        <f>"3  "</f>
        <v xml:space="preserve">3  </v>
      </c>
      <c r="I1265" t="str">
        <f>"2018/07/18"</f>
        <v>2018/07/18</v>
      </c>
      <c r="J1265" t="str">
        <f>"503"</f>
        <v>503</v>
      </c>
      <c r="K1265" t="str">
        <f>"20270125"</f>
        <v>20270125</v>
      </c>
      <c r="L1265" t="s">
        <v>18</v>
      </c>
      <c r="M1265" t="str">
        <f>"20160329"</f>
        <v>20160329</v>
      </c>
    </row>
    <row r="1266" spans="1:13" x14ac:dyDescent="0.25">
      <c r="A1266" t="str">
        <f>"00506509"</f>
        <v>00506509</v>
      </c>
      <c r="B1266" t="s">
        <v>2813</v>
      </c>
      <c r="C1266" t="s">
        <v>62</v>
      </c>
      <c r="D1266" t="s">
        <v>25</v>
      </c>
      <c r="E1266" t="s">
        <v>26</v>
      </c>
      <c r="F1266" t="s">
        <v>17</v>
      </c>
      <c r="G1266" t="str">
        <f>"02"</f>
        <v>02</v>
      </c>
      <c r="H1266" t="str">
        <f>"3  "</f>
        <v xml:space="preserve">3  </v>
      </c>
      <c r="I1266" t="str">
        <f>"2006/04/11"</f>
        <v>2006/04/11</v>
      </c>
      <c r="J1266" t="str">
        <f>"510"</f>
        <v>510</v>
      </c>
      <c r="K1266" t="str">
        <f>"20370521"</f>
        <v>20370521</v>
      </c>
      <c r="L1266" t="s">
        <v>18</v>
      </c>
      <c r="M1266" t="str">
        <f>"20040511"</f>
        <v>20040511</v>
      </c>
    </row>
    <row r="1267" spans="1:13" x14ac:dyDescent="0.25">
      <c r="A1267" t="str">
        <f>"00802821"</f>
        <v>00802821</v>
      </c>
      <c r="B1267" t="s">
        <v>2818</v>
      </c>
      <c r="C1267" t="s">
        <v>14</v>
      </c>
      <c r="D1267" t="s">
        <v>73</v>
      </c>
      <c r="E1267" t="s">
        <v>16</v>
      </c>
      <c r="F1267" t="s">
        <v>17</v>
      </c>
      <c r="G1267" t="str">
        <f>"02"</f>
        <v>02</v>
      </c>
      <c r="H1267" t="str">
        <f>"3  "</f>
        <v xml:space="preserve">3  </v>
      </c>
      <c r="I1267" t="str">
        <f>"2016/06/02"</f>
        <v>2016/06/02</v>
      </c>
      <c r="J1267" t="str">
        <f>"110"</f>
        <v>110</v>
      </c>
      <c r="K1267" t="str">
        <f>"20210110"</f>
        <v>20210110</v>
      </c>
      <c r="L1267" t="s">
        <v>18</v>
      </c>
      <c r="M1267" t="str">
        <f>"20150917"</f>
        <v>20150917</v>
      </c>
    </row>
    <row r="1268" spans="1:13" x14ac:dyDescent="0.25">
      <c r="A1268" t="str">
        <f>"00390605"</f>
        <v>00390605</v>
      </c>
      <c r="B1268" t="s">
        <v>2819</v>
      </c>
      <c r="C1268" t="s">
        <v>2820</v>
      </c>
      <c r="D1268" t="s">
        <v>61</v>
      </c>
      <c r="E1268" t="s">
        <v>16</v>
      </c>
      <c r="F1268" t="s">
        <v>17</v>
      </c>
      <c r="G1268" t="str">
        <f>"02"</f>
        <v>02</v>
      </c>
      <c r="H1268" t="str">
        <f>"3  "</f>
        <v xml:space="preserve">3  </v>
      </c>
      <c r="I1268" t="str">
        <f>"2018/11/02"</f>
        <v>2018/11/02</v>
      </c>
      <c r="J1268" t="str">
        <f>"503"</f>
        <v>503</v>
      </c>
      <c r="K1268" t="str">
        <f>"20220612"</f>
        <v>20220612</v>
      </c>
      <c r="L1268" t="s">
        <v>18</v>
      </c>
      <c r="M1268" t="str">
        <f>"20171201"</f>
        <v>20171201</v>
      </c>
    </row>
    <row r="1269" spans="1:13" x14ac:dyDescent="0.25">
      <c r="A1269" t="str">
        <f>"00437397"</f>
        <v>00437397</v>
      </c>
      <c r="B1269" t="s">
        <v>2819</v>
      </c>
      <c r="C1269" t="s">
        <v>169</v>
      </c>
      <c r="D1269" t="s">
        <v>37</v>
      </c>
      <c r="E1269" t="s">
        <v>16</v>
      </c>
      <c r="F1269" t="s">
        <v>17</v>
      </c>
      <c r="G1269" t="str">
        <f>"02"</f>
        <v>02</v>
      </c>
      <c r="H1269" t="str">
        <f>"3  "</f>
        <v xml:space="preserve">3  </v>
      </c>
      <c r="I1269" t="str">
        <f>"2018/07/25"</f>
        <v>2018/07/25</v>
      </c>
      <c r="J1269" t="str">
        <f>"110"</f>
        <v>110</v>
      </c>
      <c r="K1269" t="str">
        <f>"20210221"</f>
        <v>20210221</v>
      </c>
      <c r="L1269" t="s">
        <v>18</v>
      </c>
      <c r="M1269" t="str">
        <f>"20170627"</f>
        <v>20170627</v>
      </c>
    </row>
    <row r="1270" spans="1:13" x14ac:dyDescent="0.25">
      <c r="A1270" t="str">
        <f>"00511452"</f>
        <v>00511452</v>
      </c>
      <c r="B1270" t="s">
        <v>2822</v>
      </c>
      <c r="C1270" t="s">
        <v>74</v>
      </c>
      <c r="D1270" t="s">
        <v>16</v>
      </c>
      <c r="E1270" t="s">
        <v>26</v>
      </c>
      <c r="F1270" t="s">
        <v>17</v>
      </c>
      <c r="G1270" t="str">
        <f>"02"</f>
        <v>02</v>
      </c>
      <c r="H1270" t="str">
        <f>"3  "</f>
        <v xml:space="preserve">3  </v>
      </c>
      <c r="I1270" t="str">
        <f>"2016/11/18"</f>
        <v>2016/11/18</v>
      </c>
      <c r="J1270" t="str">
        <f>"110"</f>
        <v>110</v>
      </c>
      <c r="K1270" t="str">
        <f>"20220116"</f>
        <v>20220116</v>
      </c>
      <c r="L1270" t="s">
        <v>18</v>
      </c>
      <c r="M1270" t="str">
        <f>"20161006"</f>
        <v>20161006</v>
      </c>
    </row>
    <row r="1271" spans="1:13" x14ac:dyDescent="0.25">
      <c r="A1271" t="str">
        <f>"00375190"</f>
        <v>00375190</v>
      </c>
      <c r="B1271" t="s">
        <v>2824</v>
      </c>
      <c r="C1271" t="s">
        <v>2825</v>
      </c>
      <c r="D1271" t="s">
        <v>31</v>
      </c>
      <c r="E1271" t="s">
        <v>26</v>
      </c>
      <c r="F1271" t="s">
        <v>17</v>
      </c>
      <c r="G1271" t="str">
        <f>"02"</f>
        <v>02</v>
      </c>
      <c r="H1271" t="str">
        <f>"3  "</f>
        <v xml:space="preserve">3  </v>
      </c>
      <c r="I1271" t="str">
        <f>"2019/12/03"</f>
        <v>2019/12/03</v>
      </c>
      <c r="J1271" t="str">
        <f>"510"</f>
        <v>510</v>
      </c>
      <c r="K1271" t="str">
        <f>"20280707"</f>
        <v>20280707</v>
      </c>
      <c r="L1271" t="s">
        <v>18</v>
      </c>
      <c r="M1271" t="str">
        <f>"20190708"</f>
        <v>20190708</v>
      </c>
    </row>
    <row r="1272" spans="1:13" x14ac:dyDescent="0.25">
      <c r="A1272" t="str">
        <f>"00172476"</f>
        <v>00172476</v>
      </c>
      <c r="B1272" t="s">
        <v>2828</v>
      </c>
      <c r="C1272" t="s">
        <v>1829</v>
      </c>
      <c r="D1272" t="s">
        <v>37</v>
      </c>
      <c r="E1272" t="s">
        <v>16</v>
      </c>
      <c r="F1272" t="s">
        <v>17</v>
      </c>
      <c r="G1272" t="str">
        <f>"02"</f>
        <v>02</v>
      </c>
      <c r="H1272" t="str">
        <f>"3  "</f>
        <v xml:space="preserve">3  </v>
      </c>
      <c r="I1272" t="str">
        <f>"2018/05/07"</f>
        <v>2018/05/07</v>
      </c>
      <c r="J1272" t="str">
        <f>"510"</f>
        <v>510</v>
      </c>
      <c r="K1272" t="str">
        <f>"20310713"</f>
        <v>20310713</v>
      </c>
      <c r="L1272" t="s">
        <v>18</v>
      </c>
      <c r="M1272" t="str">
        <f>"20170328"</f>
        <v>20170328</v>
      </c>
    </row>
    <row r="1273" spans="1:13" x14ac:dyDescent="0.25">
      <c r="A1273" t="str">
        <f>"00219942"</f>
        <v>00219942</v>
      </c>
      <c r="B1273" t="s">
        <v>2834</v>
      </c>
      <c r="C1273" t="s">
        <v>55</v>
      </c>
      <c r="D1273" t="s">
        <v>26</v>
      </c>
      <c r="E1273" t="s">
        <v>16</v>
      </c>
      <c r="F1273" t="s">
        <v>17</v>
      </c>
      <c r="G1273" t="str">
        <f>"02"</f>
        <v>02</v>
      </c>
      <c r="H1273" t="str">
        <f>"7  "</f>
        <v xml:space="preserve">7  </v>
      </c>
      <c r="I1273" t="str">
        <f>"2018/08/30"</f>
        <v>2018/08/30</v>
      </c>
      <c r="J1273" t="str">
        <f>"503"</f>
        <v>503</v>
      </c>
      <c r="K1273" t="s">
        <v>18</v>
      </c>
      <c r="L1273" t="s">
        <v>18</v>
      </c>
      <c r="M1273" t="str">
        <f>"19911220"</f>
        <v>19911220</v>
      </c>
    </row>
    <row r="1274" spans="1:13" x14ac:dyDescent="0.25">
      <c r="A1274" t="str">
        <f>"00869038"</f>
        <v>00869038</v>
      </c>
      <c r="B1274" t="s">
        <v>2838</v>
      </c>
      <c r="C1274" t="s">
        <v>2839</v>
      </c>
      <c r="D1274" t="s">
        <v>26</v>
      </c>
      <c r="E1274" t="s">
        <v>26</v>
      </c>
      <c r="F1274" t="s">
        <v>17</v>
      </c>
      <c r="G1274" t="str">
        <f>"02"</f>
        <v>02</v>
      </c>
      <c r="H1274" t="str">
        <f>"3  "</f>
        <v xml:space="preserve">3  </v>
      </c>
      <c r="I1274" t="str">
        <f>"2019/02/22"</f>
        <v>2019/02/22</v>
      </c>
      <c r="J1274" t="str">
        <f>"510"</f>
        <v>510</v>
      </c>
      <c r="K1274" t="str">
        <f>"20220308"</f>
        <v>20220308</v>
      </c>
      <c r="L1274" t="s">
        <v>18</v>
      </c>
      <c r="M1274" t="str">
        <f>"20180730"</f>
        <v>20180730</v>
      </c>
    </row>
    <row r="1275" spans="1:13" x14ac:dyDescent="0.25">
      <c r="A1275" t="str">
        <f>"00405923"</f>
        <v>00405923</v>
      </c>
      <c r="B1275" t="s">
        <v>2842</v>
      </c>
      <c r="C1275" t="s">
        <v>176</v>
      </c>
      <c r="D1275" t="s">
        <v>53</v>
      </c>
      <c r="E1275" t="s">
        <v>16</v>
      </c>
      <c r="F1275" t="s">
        <v>17</v>
      </c>
      <c r="G1275" t="str">
        <f>"02"</f>
        <v>02</v>
      </c>
      <c r="H1275" t="str">
        <f>"7  "</f>
        <v xml:space="preserve">7  </v>
      </c>
      <c r="I1275" t="str">
        <f>"2013/02/27"</f>
        <v>2013/02/27</v>
      </c>
      <c r="J1275" t="str">
        <f>"531"</f>
        <v>531</v>
      </c>
      <c r="K1275" t="s">
        <v>18</v>
      </c>
      <c r="L1275" t="s">
        <v>18</v>
      </c>
      <c r="M1275" t="str">
        <f>"20121220"</f>
        <v>20121220</v>
      </c>
    </row>
    <row r="1276" spans="1:13" x14ac:dyDescent="0.25">
      <c r="A1276" t="str">
        <f>"00403453"</f>
        <v>00403453</v>
      </c>
      <c r="B1276" t="s">
        <v>2843</v>
      </c>
      <c r="C1276" t="s">
        <v>2844</v>
      </c>
      <c r="D1276" t="s">
        <v>15</v>
      </c>
      <c r="E1276" t="s">
        <v>26</v>
      </c>
      <c r="F1276" t="s">
        <v>17</v>
      </c>
      <c r="G1276" t="str">
        <f>"02"</f>
        <v>02</v>
      </c>
      <c r="H1276" t="str">
        <f>"3  "</f>
        <v xml:space="preserve">3  </v>
      </c>
      <c r="I1276" t="str">
        <f>"2018/10/26"</f>
        <v>2018/10/26</v>
      </c>
      <c r="J1276" t="str">
        <f>"503"</f>
        <v>503</v>
      </c>
      <c r="K1276" t="str">
        <f>"20221119"</f>
        <v>20221119</v>
      </c>
      <c r="L1276" t="s">
        <v>18</v>
      </c>
      <c r="M1276" t="str">
        <f>"20171120"</f>
        <v>20171120</v>
      </c>
    </row>
    <row r="1277" spans="1:13" x14ac:dyDescent="0.25">
      <c r="A1277" t="str">
        <f>"00272510"</f>
        <v>00272510</v>
      </c>
      <c r="B1277" t="s">
        <v>2848</v>
      </c>
      <c r="C1277" t="s">
        <v>72</v>
      </c>
      <c r="D1277" t="s">
        <v>26</v>
      </c>
      <c r="E1277" t="s">
        <v>16</v>
      </c>
      <c r="F1277" t="s">
        <v>17</v>
      </c>
      <c r="G1277" t="str">
        <f>"02"</f>
        <v>02</v>
      </c>
      <c r="H1277" t="str">
        <f>"7  "</f>
        <v xml:space="preserve">7  </v>
      </c>
      <c r="I1277" t="str">
        <f>"1996/08/30"</f>
        <v>1996/08/30</v>
      </c>
      <c r="J1277" t="str">
        <f>"532"</f>
        <v>532</v>
      </c>
      <c r="K1277" t="s">
        <v>18</v>
      </c>
      <c r="L1277" t="s">
        <v>18</v>
      </c>
      <c r="M1277" t="str">
        <f>"19910916"</f>
        <v>19910916</v>
      </c>
    </row>
    <row r="1278" spans="1:13" x14ac:dyDescent="0.25">
      <c r="A1278" t="str">
        <f>"00381489"</f>
        <v>00381489</v>
      </c>
      <c r="B1278" t="s">
        <v>2851</v>
      </c>
      <c r="C1278" t="s">
        <v>14</v>
      </c>
      <c r="D1278" t="s">
        <v>61</v>
      </c>
      <c r="E1278" t="s">
        <v>16</v>
      </c>
      <c r="F1278" t="s">
        <v>17</v>
      </c>
      <c r="G1278" t="str">
        <f>"02"</f>
        <v>02</v>
      </c>
      <c r="H1278" t="str">
        <f>"3  "</f>
        <v xml:space="preserve">3  </v>
      </c>
      <c r="I1278" t="str">
        <f>"2015/06/05"</f>
        <v>2015/06/05</v>
      </c>
      <c r="J1278" t="str">
        <f>"110"</f>
        <v>110</v>
      </c>
      <c r="K1278" t="str">
        <f>"20280203"</f>
        <v>20280203</v>
      </c>
      <c r="L1278" t="s">
        <v>18</v>
      </c>
      <c r="M1278" t="str">
        <f>"20121118"</f>
        <v>20121118</v>
      </c>
    </row>
    <row r="1279" spans="1:13" x14ac:dyDescent="0.25">
      <c r="A1279" t="str">
        <f>"00485068"</f>
        <v>00485068</v>
      </c>
      <c r="B1279" t="s">
        <v>2851</v>
      </c>
      <c r="C1279" t="s">
        <v>218</v>
      </c>
      <c r="D1279" t="s">
        <v>25</v>
      </c>
      <c r="E1279" t="s">
        <v>16</v>
      </c>
      <c r="F1279" t="s">
        <v>17</v>
      </c>
      <c r="G1279" t="str">
        <f>"02"</f>
        <v>02</v>
      </c>
      <c r="H1279" t="str">
        <f>"3  "</f>
        <v xml:space="preserve">3  </v>
      </c>
      <c r="I1279" t="str">
        <f>"2003/06/30"</f>
        <v>2003/06/30</v>
      </c>
      <c r="J1279" t="str">
        <f>"503"</f>
        <v>503</v>
      </c>
      <c r="K1279" t="str">
        <f>"20620615"</f>
        <v>20620615</v>
      </c>
      <c r="L1279" t="s">
        <v>18</v>
      </c>
      <c r="M1279" t="str">
        <f>"20020809"</f>
        <v>20020809</v>
      </c>
    </row>
    <row r="1280" spans="1:13" x14ac:dyDescent="0.25">
      <c r="A1280" t="str">
        <f>"00480744"</f>
        <v>00480744</v>
      </c>
      <c r="B1280" t="s">
        <v>2851</v>
      </c>
      <c r="C1280" t="s">
        <v>2852</v>
      </c>
      <c r="D1280" t="s">
        <v>80</v>
      </c>
      <c r="E1280" t="s">
        <v>16</v>
      </c>
      <c r="F1280" t="s">
        <v>17</v>
      </c>
      <c r="G1280" t="str">
        <f>"02"</f>
        <v>02</v>
      </c>
      <c r="H1280" t="str">
        <f>"3  "</f>
        <v xml:space="preserve">3  </v>
      </c>
      <c r="I1280" t="str">
        <f>"2004/02/25"</f>
        <v>2004/02/25</v>
      </c>
      <c r="J1280" t="str">
        <f>"510"</f>
        <v>510</v>
      </c>
      <c r="K1280" t="str">
        <f>"20521015"</f>
        <v>20521015</v>
      </c>
      <c r="L1280" t="s">
        <v>18</v>
      </c>
      <c r="M1280" t="str">
        <f>"20021018"</f>
        <v>20021018</v>
      </c>
    </row>
    <row r="1281" spans="1:13" x14ac:dyDescent="0.25">
      <c r="A1281" t="str">
        <f>"00194247"</f>
        <v>00194247</v>
      </c>
      <c r="B1281" t="s">
        <v>2851</v>
      </c>
      <c r="C1281" t="s">
        <v>36</v>
      </c>
      <c r="D1281" t="s">
        <v>61</v>
      </c>
      <c r="E1281" t="s">
        <v>16</v>
      </c>
      <c r="F1281" t="s">
        <v>17</v>
      </c>
      <c r="G1281" t="str">
        <f>"02"</f>
        <v>02</v>
      </c>
      <c r="H1281" t="str">
        <f>"7  "</f>
        <v xml:space="preserve">7  </v>
      </c>
      <c r="I1281" t="str">
        <f>"2003/09/29"</f>
        <v>2003/09/29</v>
      </c>
      <c r="J1281" t="str">
        <f>"110"</f>
        <v>110</v>
      </c>
      <c r="K1281" t="s">
        <v>18</v>
      </c>
      <c r="L1281" t="s">
        <v>18</v>
      </c>
      <c r="M1281" t="str">
        <f>"20010707"</f>
        <v>20010707</v>
      </c>
    </row>
    <row r="1282" spans="1:13" x14ac:dyDescent="0.25">
      <c r="A1282" t="str">
        <f>"00463429"</f>
        <v>00463429</v>
      </c>
      <c r="B1282" t="s">
        <v>2851</v>
      </c>
      <c r="C1282" t="s">
        <v>346</v>
      </c>
      <c r="D1282" t="s">
        <v>61</v>
      </c>
      <c r="E1282" t="s">
        <v>26</v>
      </c>
      <c r="F1282" t="s">
        <v>17</v>
      </c>
      <c r="G1282" t="str">
        <f>"02"</f>
        <v>02</v>
      </c>
      <c r="H1282" t="str">
        <f>"3  "</f>
        <v xml:space="preserve">3  </v>
      </c>
      <c r="I1282" t="str">
        <f>"2014/08/22"</f>
        <v>2014/08/22</v>
      </c>
      <c r="J1282" t="str">
        <f>"510"</f>
        <v>510</v>
      </c>
      <c r="K1282" t="str">
        <f>"20210420"</f>
        <v>20210420</v>
      </c>
      <c r="L1282" t="s">
        <v>18</v>
      </c>
      <c r="M1282" t="str">
        <f>"20120326"</f>
        <v>20120326</v>
      </c>
    </row>
    <row r="1283" spans="1:13" x14ac:dyDescent="0.25">
      <c r="A1283" t="str">
        <f>"00166181"</f>
        <v>00166181</v>
      </c>
      <c r="B1283" t="s">
        <v>2856</v>
      </c>
      <c r="C1283" t="s">
        <v>140</v>
      </c>
      <c r="D1283" t="s">
        <v>25</v>
      </c>
      <c r="E1283" t="s">
        <v>16</v>
      </c>
      <c r="F1283" t="s">
        <v>17</v>
      </c>
      <c r="G1283" t="str">
        <f>"02"</f>
        <v>02</v>
      </c>
      <c r="H1283" t="str">
        <f>"3  "</f>
        <v xml:space="preserve">3  </v>
      </c>
      <c r="I1283" t="str">
        <f>"2019/12/12"</f>
        <v>2019/12/12</v>
      </c>
      <c r="J1283" t="str">
        <f>"503"</f>
        <v>503</v>
      </c>
      <c r="K1283" t="str">
        <f>"20210411"</f>
        <v>20210411</v>
      </c>
      <c r="L1283" t="s">
        <v>18</v>
      </c>
      <c r="M1283" t="str">
        <f>"20181103"</f>
        <v>20181103</v>
      </c>
    </row>
    <row r="1284" spans="1:13" x14ac:dyDescent="0.25">
      <c r="A1284" t="str">
        <f>"00520377"</f>
        <v>00520377</v>
      </c>
      <c r="B1284" t="s">
        <v>2859</v>
      </c>
      <c r="C1284" t="s">
        <v>59</v>
      </c>
      <c r="D1284" t="s">
        <v>15</v>
      </c>
      <c r="E1284" t="s">
        <v>16</v>
      </c>
      <c r="F1284" t="s">
        <v>17</v>
      </c>
      <c r="G1284" t="str">
        <f>"02"</f>
        <v>02</v>
      </c>
      <c r="H1284" t="str">
        <f>"3  "</f>
        <v xml:space="preserve">3  </v>
      </c>
      <c r="I1284" t="str">
        <f>"2011/06/15"</f>
        <v>2011/06/15</v>
      </c>
      <c r="J1284" t="str">
        <f>"110"</f>
        <v>110</v>
      </c>
      <c r="K1284" t="str">
        <f>"20240717"</f>
        <v>20240717</v>
      </c>
      <c r="L1284" t="s">
        <v>18</v>
      </c>
      <c r="M1284" t="str">
        <f>"20100503"</f>
        <v>20100503</v>
      </c>
    </row>
    <row r="1285" spans="1:13" x14ac:dyDescent="0.25">
      <c r="A1285" t="str">
        <f>"00451729"</f>
        <v>00451729</v>
      </c>
      <c r="B1285" t="s">
        <v>2862</v>
      </c>
      <c r="C1285" t="s">
        <v>60</v>
      </c>
      <c r="D1285" t="s">
        <v>21</v>
      </c>
      <c r="E1285" t="s">
        <v>26</v>
      </c>
      <c r="F1285" t="s">
        <v>17</v>
      </c>
      <c r="G1285" t="str">
        <f>"02"</f>
        <v>02</v>
      </c>
      <c r="H1285" t="str">
        <f>"3  "</f>
        <v xml:space="preserve">3  </v>
      </c>
      <c r="I1285" t="str">
        <f>"2020/09/16"</f>
        <v>2020/09/16</v>
      </c>
      <c r="J1285" t="str">
        <f>"533"</f>
        <v>533</v>
      </c>
      <c r="K1285" t="str">
        <f>"20281120"</f>
        <v>20281120</v>
      </c>
      <c r="L1285" t="s">
        <v>18</v>
      </c>
      <c r="M1285" t="str">
        <f>"20150824"</f>
        <v>20150824</v>
      </c>
    </row>
    <row r="1286" spans="1:13" x14ac:dyDescent="0.25">
      <c r="A1286" t="str">
        <f>"00180640"</f>
        <v>00180640</v>
      </c>
      <c r="B1286" t="s">
        <v>2863</v>
      </c>
      <c r="C1286" t="s">
        <v>447</v>
      </c>
      <c r="D1286" t="s">
        <v>91</v>
      </c>
      <c r="E1286" t="s">
        <v>16</v>
      </c>
      <c r="F1286" t="s">
        <v>17</v>
      </c>
      <c r="G1286" t="str">
        <f>"02"</f>
        <v>02</v>
      </c>
      <c r="H1286" t="str">
        <f>"3  "</f>
        <v xml:space="preserve">3  </v>
      </c>
      <c r="I1286" t="str">
        <f>"2011/10/21"</f>
        <v>2011/10/21</v>
      </c>
      <c r="J1286" t="str">
        <f>"110"</f>
        <v>110</v>
      </c>
      <c r="K1286" t="str">
        <f>"20270714"</f>
        <v>20270714</v>
      </c>
      <c r="L1286" t="s">
        <v>18</v>
      </c>
      <c r="M1286" t="str">
        <f>"19940424"</f>
        <v>19940424</v>
      </c>
    </row>
    <row r="1287" spans="1:13" x14ac:dyDescent="0.25">
      <c r="A1287" t="str">
        <f>"00412056"</f>
        <v>00412056</v>
      </c>
      <c r="B1287" t="s">
        <v>2864</v>
      </c>
      <c r="C1287" t="s">
        <v>657</v>
      </c>
      <c r="D1287" t="s">
        <v>80</v>
      </c>
      <c r="E1287" t="s">
        <v>26</v>
      </c>
      <c r="F1287" t="s">
        <v>17</v>
      </c>
      <c r="G1287" t="str">
        <f>"02"</f>
        <v>02</v>
      </c>
      <c r="H1287" t="str">
        <f>"3  "</f>
        <v xml:space="preserve">3  </v>
      </c>
      <c r="I1287" t="str">
        <f>"2015/03/23"</f>
        <v>2015/03/23</v>
      </c>
      <c r="J1287" t="str">
        <f>"510"</f>
        <v>510</v>
      </c>
      <c r="K1287" t="str">
        <f>"20300720"</f>
        <v>20300720</v>
      </c>
      <c r="L1287" t="s">
        <v>18</v>
      </c>
      <c r="M1287" t="str">
        <f>"20131205"</f>
        <v>20131205</v>
      </c>
    </row>
    <row r="1288" spans="1:13" x14ac:dyDescent="0.25">
      <c r="A1288" t="str">
        <f>"00410556"</f>
        <v>00410556</v>
      </c>
      <c r="B1288" t="s">
        <v>2870</v>
      </c>
      <c r="C1288" t="s">
        <v>1024</v>
      </c>
      <c r="D1288" t="s">
        <v>21</v>
      </c>
      <c r="E1288" t="s">
        <v>26</v>
      </c>
      <c r="F1288" t="s">
        <v>17</v>
      </c>
      <c r="G1288" t="str">
        <f>"02"</f>
        <v>02</v>
      </c>
      <c r="H1288" t="str">
        <f>"7  "</f>
        <v xml:space="preserve">7  </v>
      </c>
      <c r="I1288" t="str">
        <f>"2006/03/07"</f>
        <v>2006/03/07</v>
      </c>
      <c r="J1288" t="str">
        <f>"110"</f>
        <v>110</v>
      </c>
      <c r="K1288" t="s">
        <v>18</v>
      </c>
      <c r="L1288" t="s">
        <v>18</v>
      </c>
      <c r="M1288" t="str">
        <f>"20001012"</f>
        <v>20001012</v>
      </c>
    </row>
    <row r="1289" spans="1:13" x14ac:dyDescent="0.25">
      <c r="A1289" t="str">
        <f>"00726001"</f>
        <v>00726001</v>
      </c>
      <c r="B1289" t="s">
        <v>2874</v>
      </c>
      <c r="C1289" t="s">
        <v>437</v>
      </c>
      <c r="D1289" t="s">
        <v>21</v>
      </c>
      <c r="E1289" t="s">
        <v>26</v>
      </c>
      <c r="F1289" t="s">
        <v>17</v>
      </c>
      <c r="G1289" t="str">
        <f>"02"</f>
        <v>02</v>
      </c>
      <c r="H1289" t="str">
        <f>"3  "</f>
        <v xml:space="preserve">3  </v>
      </c>
      <c r="I1289" t="str">
        <f>"2018/05/16"</f>
        <v>2018/05/16</v>
      </c>
      <c r="J1289" t="str">
        <f>"503"</f>
        <v>503</v>
      </c>
      <c r="K1289" t="str">
        <f>"20231123"</f>
        <v>20231123</v>
      </c>
      <c r="L1289" t="s">
        <v>18</v>
      </c>
      <c r="M1289" t="str">
        <f>"20120912"</f>
        <v>20120912</v>
      </c>
    </row>
    <row r="1290" spans="1:13" x14ac:dyDescent="0.25">
      <c r="A1290" t="str">
        <f>"00486146"</f>
        <v>00486146</v>
      </c>
      <c r="B1290" t="s">
        <v>2874</v>
      </c>
      <c r="C1290" t="s">
        <v>772</v>
      </c>
      <c r="D1290" t="s">
        <v>15</v>
      </c>
      <c r="E1290" t="s">
        <v>16</v>
      </c>
      <c r="F1290" t="s">
        <v>17</v>
      </c>
      <c r="G1290" t="str">
        <f>"02"</f>
        <v>02</v>
      </c>
      <c r="H1290" t="str">
        <f>"3  "</f>
        <v xml:space="preserve">3  </v>
      </c>
      <c r="I1290" t="str">
        <f>"2014/06/09"</f>
        <v>2014/06/09</v>
      </c>
      <c r="J1290" t="str">
        <f>"110"</f>
        <v>110</v>
      </c>
      <c r="K1290" t="str">
        <f>"20301023"</f>
        <v>20301023</v>
      </c>
      <c r="L1290" t="s">
        <v>18</v>
      </c>
      <c r="M1290" t="str">
        <f>"20130227"</f>
        <v>20130227</v>
      </c>
    </row>
    <row r="1291" spans="1:13" x14ac:dyDescent="0.25">
      <c r="A1291" t="str">
        <f>"00575578"</f>
        <v>00575578</v>
      </c>
      <c r="B1291" t="s">
        <v>2874</v>
      </c>
      <c r="C1291" t="s">
        <v>2875</v>
      </c>
      <c r="D1291" t="s">
        <v>15</v>
      </c>
      <c r="E1291" t="s">
        <v>26</v>
      </c>
      <c r="F1291" t="s">
        <v>17</v>
      </c>
      <c r="G1291" t="str">
        <f>"02"</f>
        <v>02</v>
      </c>
      <c r="H1291" t="str">
        <f>"3  "</f>
        <v xml:space="preserve">3  </v>
      </c>
      <c r="I1291" t="str">
        <f>"2016/11/16"</f>
        <v>2016/11/16</v>
      </c>
      <c r="J1291" t="str">
        <f>"510"</f>
        <v>510</v>
      </c>
      <c r="K1291" t="str">
        <f>"20530717"</f>
        <v>20530717</v>
      </c>
      <c r="L1291" t="s">
        <v>18</v>
      </c>
      <c r="M1291" t="str">
        <f>"20151112"</f>
        <v>20151112</v>
      </c>
    </row>
    <row r="1292" spans="1:13" x14ac:dyDescent="0.25">
      <c r="A1292" t="str">
        <f>"00724968"</f>
        <v>00724968</v>
      </c>
      <c r="B1292" t="s">
        <v>2874</v>
      </c>
      <c r="C1292" t="s">
        <v>1629</v>
      </c>
      <c r="D1292" t="s">
        <v>21</v>
      </c>
      <c r="E1292" t="s">
        <v>26</v>
      </c>
      <c r="F1292" t="s">
        <v>17</v>
      </c>
      <c r="G1292" t="str">
        <f>"02"</f>
        <v>02</v>
      </c>
      <c r="H1292" t="str">
        <f>"3  "</f>
        <v xml:space="preserve">3  </v>
      </c>
      <c r="I1292" t="str">
        <f>"2015/08/21"</f>
        <v>2015/08/21</v>
      </c>
      <c r="J1292" t="str">
        <f>"510"</f>
        <v>510</v>
      </c>
      <c r="K1292" t="str">
        <f>"20210629"</f>
        <v>20210629</v>
      </c>
      <c r="L1292" t="s">
        <v>18</v>
      </c>
      <c r="M1292" t="str">
        <f>"20140403"</f>
        <v>20140403</v>
      </c>
    </row>
    <row r="1293" spans="1:13" x14ac:dyDescent="0.25">
      <c r="A1293" t="str">
        <f>"00232206"</f>
        <v>00232206</v>
      </c>
      <c r="B1293" t="s">
        <v>2877</v>
      </c>
      <c r="C1293" t="s">
        <v>22</v>
      </c>
      <c r="D1293" t="s">
        <v>15</v>
      </c>
      <c r="E1293" t="s">
        <v>16</v>
      </c>
      <c r="F1293" t="s">
        <v>17</v>
      </c>
      <c r="G1293" t="str">
        <f>"02"</f>
        <v>02</v>
      </c>
      <c r="H1293" t="str">
        <f>"3  "</f>
        <v xml:space="preserve">3  </v>
      </c>
      <c r="I1293" t="str">
        <f>"1990/04/20"</f>
        <v>1990/04/20</v>
      </c>
      <c r="J1293" t="str">
        <f>"510"</f>
        <v>510</v>
      </c>
      <c r="K1293" t="str">
        <f>"20560730"</f>
        <v>20560730</v>
      </c>
      <c r="L1293" t="str">
        <f>"20331205"</f>
        <v>20331205</v>
      </c>
      <c r="M1293" t="str">
        <f>"19890123"</f>
        <v>19890123</v>
      </c>
    </row>
    <row r="1294" spans="1:13" x14ac:dyDescent="0.25">
      <c r="A1294" t="str">
        <f>"00203300"</f>
        <v>00203300</v>
      </c>
      <c r="B1294" t="s">
        <v>2878</v>
      </c>
      <c r="C1294" t="s">
        <v>426</v>
      </c>
      <c r="D1294" t="s">
        <v>31</v>
      </c>
      <c r="E1294" t="s">
        <v>16</v>
      </c>
      <c r="F1294" t="s">
        <v>17</v>
      </c>
      <c r="G1294" t="str">
        <f>"02"</f>
        <v>02</v>
      </c>
      <c r="H1294" t="str">
        <f>"3  "</f>
        <v xml:space="preserve">3  </v>
      </c>
      <c r="I1294" t="str">
        <f>"2019/10/31"</f>
        <v>2019/10/31</v>
      </c>
      <c r="J1294" t="str">
        <f>"533"</f>
        <v>533</v>
      </c>
      <c r="K1294" t="str">
        <f>"20330322"</f>
        <v>20330322</v>
      </c>
      <c r="L1294" t="s">
        <v>18</v>
      </c>
      <c r="M1294" t="str">
        <f>"20071129"</f>
        <v>20071129</v>
      </c>
    </row>
    <row r="1295" spans="1:13" x14ac:dyDescent="0.25">
      <c r="A1295" t="str">
        <f>"00777008"</f>
        <v>00777008</v>
      </c>
      <c r="B1295" t="s">
        <v>2881</v>
      </c>
      <c r="C1295" t="s">
        <v>211</v>
      </c>
      <c r="D1295" t="s">
        <v>91</v>
      </c>
      <c r="E1295" t="s">
        <v>16</v>
      </c>
      <c r="F1295" t="s">
        <v>17</v>
      </c>
      <c r="G1295" t="str">
        <f>"02"</f>
        <v>02</v>
      </c>
      <c r="H1295" t="str">
        <f>"3  "</f>
        <v xml:space="preserve">3  </v>
      </c>
      <c r="I1295" t="str">
        <f>"2017/11/20"</f>
        <v>2017/11/20</v>
      </c>
      <c r="J1295" t="str">
        <f>"510"</f>
        <v>510</v>
      </c>
      <c r="K1295" t="str">
        <f>"20220629"</f>
        <v>20220629</v>
      </c>
      <c r="L1295" t="str">
        <f>"20210422"</f>
        <v>20210422</v>
      </c>
      <c r="M1295" t="str">
        <f>"20151002"</f>
        <v>20151002</v>
      </c>
    </row>
    <row r="1296" spans="1:13" x14ac:dyDescent="0.25">
      <c r="A1296" t="str">
        <f>"00757396"</f>
        <v>00757396</v>
      </c>
      <c r="B1296" t="s">
        <v>2885</v>
      </c>
      <c r="C1296" t="s">
        <v>213</v>
      </c>
      <c r="D1296" t="s">
        <v>215</v>
      </c>
      <c r="E1296" t="s">
        <v>26</v>
      </c>
      <c r="F1296" t="s">
        <v>17</v>
      </c>
      <c r="G1296" t="str">
        <f>"02"</f>
        <v>02</v>
      </c>
      <c r="H1296" t="str">
        <f>"3  "</f>
        <v xml:space="preserve">3  </v>
      </c>
      <c r="I1296" t="str">
        <f>"2018/04/20"</f>
        <v>2018/04/20</v>
      </c>
      <c r="J1296" t="str">
        <f>"510"</f>
        <v>510</v>
      </c>
      <c r="K1296" t="str">
        <f>"20390214"</f>
        <v>20390214</v>
      </c>
      <c r="L1296" t="s">
        <v>18</v>
      </c>
      <c r="M1296" t="str">
        <f>"20160808"</f>
        <v>20160808</v>
      </c>
    </row>
    <row r="1297" spans="1:13" x14ac:dyDescent="0.25">
      <c r="A1297" t="str">
        <f>"00543324"</f>
        <v>00543324</v>
      </c>
      <c r="B1297" t="s">
        <v>2885</v>
      </c>
      <c r="C1297" t="s">
        <v>2298</v>
      </c>
      <c r="D1297" t="s">
        <v>51</v>
      </c>
      <c r="E1297" t="s">
        <v>26</v>
      </c>
      <c r="F1297" t="s">
        <v>17</v>
      </c>
      <c r="G1297" t="str">
        <f>"02"</f>
        <v>02</v>
      </c>
      <c r="H1297" t="str">
        <f>"3  "</f>
        <v xml:space="preserve">3  </v>
      </c>
      <c r="I1297" t="str">
        <f>"2020/01/06"</f>
        <v>2020/01/06</v>
      </c>
      <c r="J1297" t="str">
        <f>"510"</f>
        <v>510</v>
      </c>
      <c r="K1297" t="str">
        <f>"20280904"</f>
        <v>20280904</v>
      </c>
      <c r="L1297" t="s">
        <v>18</v>
      </c>
      <c r="M1297" t="str">
        <f>"20180926"</f>
        <v>20180926</v>
      </c>
    </row>
    <row r="1298" spans="1:13" x14ac:dyDescent="0.25">
      <c r="A1298" t="str">
        <f>"00428221"</f>
        <v>00428221</v>
      </c>
      <c r="B1298" t="s">
        <v>2885</v>
      </c>
      <c r="C1298" t="s">
        <v>1618</v>
      </c>
      <c r="D1298" t="s">
        <v>51</v>
      </c>
      <c r="E1298" t="s">
        <v>26</v>
      </c>
      <c r="F1298" t="s">
        <v>17</v>
      </c>
      <c r="G1298" t="str">
        <f>"02"</f>
        <v>02</v>
      </c>
      <c r="H1298" t="str">
        <f>"3  "</f>
        <v xml:space="preserve">3  </v>
      </c>
      <c r="I1298" t="str">
        <f>"2019/03/15"</f>
        <v>2019/03/15</v>
      </c>
      <c r="J1298" t="str">
        <f>"510"</f>
        <v>510</v>
      </c>
      <c r="K1298" t="str">
        <f>"20220222"</f>
        <v>20220222</v>
      </c>
      <c r="L1298" t="s">
        <v>18</v>
      </c>
      <c r="M1298" t="str">
        <f>"20140329"</f>
        <v>20140329</v>
      </c>
    </row>
    <row r="1299" spans="1:13" x14ac:dyDescent="0.25">
      <c r="A1299" t="str">
        <f>"00545643"</f>
        <v>00545643</v>
      </c>
      <c r="B1299" t="s">
        <v>2895</v>
      </c>
      <c r="C1299" t="s">
        <v>526</v>
      </c>
      <c r="D1299" t="s">
        <v>40</v>
      </c>
      <c r="E1299" t="s">
        <v>16</v>
      </c>
      <c r="F1299" t="s">
        <v>17</v>
      </c>
      <c r="G1299" t="str">
        <f>"02"</f>
        <v>02</v>
      </c>
      <c r="H1299" t="str">
        <f>"3  "</f>
        <v xml:space="preserve">3  </v>
      </c>
      <c r="I1299" t="str">
        <f>"2014/10/30"</f>
        <v>2014/10/30</v>
      </c>
      <c r="J1299" t="str">
        <f>"110"</f>
        <v>110</v>
      </c>
      <c r="K1299" t="str">
        <f>"20530814"</f>
        <v>20530814</v>
      </c>
      <c r="L1299" t="s">
        <v>18</v>
      </c>
      <c r="M1299" t="str">
        <f>"20140321"</f>
        <v>20140321</v>
      </c>
    </row>
    <row r="1300" spans="1:13" x14ac:dyDescent="0.25">
      <c r="A1300" t="str">
        <f>"00072925"</f>
        <v>00072925</v>
      </c>
      <c r="B1300" t="s">
        <v>2903</v>
      </c>
      <c r="C1300" t="s">
        <v>532</v>
      </c>
      <c r="D1300" t="s">
        <v>80</v>
      </c>
      <c r="E1300" t="s">
        <v>26</v>
      </c>
      <c r="F1300" t="s">
        <v>17</v>
      </c>
      <c r="G1300" t="str">
        <f>"02"</f>
        <v>02</v>
      </c>
      <c r="H1300" t="str">
        <f>"7  "</f>
        <v xml:space="preserve">7  </v>
      </c>
      <c r="I1300" t="str">
        <f>"1979/10/22"</f>
        <v>1979/10/22</v>
      </c>
      <c r="J1300" t="str">
        <f>"314"</f>
        <v>314</v>
      </c>
      <c r="K1300" t="s">
        <v>18</v>
      </c>
      <c r="L1300" t="str">
        <f>"19941003"</f>
        <v>19941003</v>
      </c>
      <c r="M1300" t="str">
        <f>"19790414"</f>
        <v>19790414</v>
      </c>
    </row>
    <row r="1301" spans="1:13" x14ac:dyDescent="0.25">
      <c r="A1301" t="str">
        <f>"00640907"</f>
        <v>00640907</v>
      </c>
      <c r="B1301" t="s">
        <v>2903</v>
      </c>
      <c r="C1301" t="s">
        <v>2904</v>
      </c>
      <c r="D1301" t="s">
        <v>51</v>
      </c>
      <c r="E1301" t="s">
        <v>16</v>
      </c>
      <c r="F1301" t="s">
        <v>17</v>
      </c>
      <c r="G1301" t="str">
        <f>"02"</f>
        <v>02</v>
      </c>
      <c r="H1301" t="str">
        <f>"3  "</f>
        <v xml:space="preserve">3  </v>
      </c>
      <c r="I1301" t="str">
        <f>"2012/03/21"</f>
        <v>2012/03/21</v>
      </c>
      <c r="J1301" t="str">
        <f>"534"</f>
        <v>534</v>
      </c>
      <c r="K1301" t="str">
        <f>"20300513"</f>
        <v>20300513</v>
      </c>
      <c r="L1301" t="s">
        <v>18</v>
      </c>
      <c r="M1301" t="str">
        <f>"20090420"</f>
        <v>20090420</v>
      </c>
    </row>
    <row r="1302" spans="1:13" x14ac:dyDescent="0.25">
      <c r="A1302" t="str">
        <f>"00814179"</f>
        <v>00814179</v>
      </c>
      <c r="B1302" t="s">
        <v>2906</v>
      </c>
      <c r="C1302" t="s">
        <v>2907</v>
      </c>
      <c r="D1302" t="s">
        <v>45</v>
      </c>
      <c r="E1302" t="s">
        <v>26</v>
      </c>
      <c r="F1302" t="s">
        <v>17</v>
      </c>
      <c r="G1302" t="str">
        <f>"02"</f>
        <v>02</v>
      </c>
      <c r="H1302" t="str">
        <f>"3  "</f>
        <v xml:space="preserve">3  </v>
      </c>
      <c r="I1302" t="str">
        <f>"2018/07/17"</f>
        <v>2018/07/17</v>
      </c>
      <c r="J1302" t="str">
        <f>"510"</f>
        <v>510</v>
      </c>
      <c r="K1302" t="str">
        <f>"20210625"</f>
        <v>20210625</v>
      </c>
      <c r="L1302" t="s">
        <v>18</v>
      </c>
      <c r="M1302" t="str">
        <f>"20160216"</f>
        <v>20160216</v>
      </c>
    </row>
    <row r="1303" spans="1:13" x14ac:dyDescent="0.25">
      <c r="A1303" t="str">
        <f>"00694034"</f>
        <v>00694034</v>
      </c>
      <c r="B1303" t="s">
        <v>2906</v>
      </c>
      <c r="C1303" t="s">
        <v>2908</v>
      </c>
      <c r="D1303" t="s">
        <v>51</v>
      </c>
      <c r="E1303" t="s">
        <v>26</v>
      </c>
      <c r="F1303" t="s">
        <v>17</v>
      </c>
      <c r="G1303" t="str">
        <f>"02"</f>
        <v>02</v>
      </c>
      <c r="H1303" t="str">
        <f>"3  "</f>
        <v xml:space="preserve">3  </v>
      </c>
      <c r="I1303" t="str">
        <f>"2019/10/07"</f>
        <v>2019/10/07</v>
      </c>
      <c r="J1303" t="str">
        <f>"510"</f>
        <v>510</v>
      </c>
      <c r="K1303" t="str">
        <f>"20220205"</f>
        <v>20220205</v>
      </c>
      <c r="L1303" t="s">
        <v>18</v>
      </c>
      <c r="M1303" t="str">
        <f>"20190515"</f>
        <v>20190515</v>
      </c>
    </row>
    <row r="1304" spans="1:13" x14ac:dyDescent="0.25">
      <c r="A1304" t="str">
        <f>"00221170"</f>
        <v>00221170</v>
      </c>
      <c r="B1304" t="s">
        <v>2909</v>
      </c>
      <c r="C1304" t="s">
        <v>74</v>
      </c>
      <c r="D1304" t="s">
        <v>73</v>
      </c>
      <c r="E1304" t="s">
        <v>16</v>
      </c>
      <c r="F1304" t="s">
        <v>17</v>
      </c>
      <c r="G1304" t="str">
        <f>"02"</f>
        <v>02</v>
      </c>
      <c r="H1304" t="str">
        <f>"3  "</f>
        <v xml:space="preserve">3  </v>
      </c>
      <c r="I1304" t="str">
        <f>"2019/10/25"</f>
        <v>2019/10/25</v>
      </c>
      <c r="J1304" t="str">
        <f>"506"</f>
        <v>506</v>
      </c>
      <c r="K1304" t="str">
        <f>"20221223"</f>
        <v>20221223</v>
      </c>
      <c r="L1304" t="str">
        <f>"20200802"</f>
        <v>20200802</v>
      </c>
      <c r="M1304" t="str">
        <f>"20190702"</f>
        <v>20190702</v>
      </c>
    </row>
    <row r="1305" spans="1:13" x14ac:dyDescent="0.25">
      <c r="A1305" t="str">
        <f>"00096692"</f>
        <v>00096692</v>
      </c>
      <c r="B1305" t="s">
        <v>2909</v>
      </c>
      <c r="C1305" t="s">
        <v>358</v>
      </c>
      <c r="D1305" t="s">
        <v>26</v>
      </c>
      <c r="E1305" t="s">
        <v>26</v>
      </c>
      <c r="F1305" t="s">
        <v>17</v>
      </c>
      <c r="G1305" t="str">
        <f>"02"</f>
        <v>02</v>
      </c>
      <c r="H1305" t="str">
        <f>"3  "</f>
        <v xml:space="preserve">3  </v>
      </c>
      <c r="I1305" t="str">
        <f>"2001/12/03"</f>
        <v>2001/12/03</v>
      </c>
      <c r="J1305" t="str">
        <f>"114"</f>
        <v>114</v>
      </c>
      <c r="K1305" t="str">
        <f>"20230913"</f>
        <v>20230913</v>
      </c>
      <c r="L1305" t="s">
        <v>18</v>
      </c>
      <c r="M1305" t="str">
        <f>"20000502"</f>
        <v>20000502</v>
      </c>
    </row>
    <row r="1306" spans="1:13" x14ac:dyDescent="0.25">
      <c r="A1306" t="str">
        <f>"00398336"</f>
        <v>00398336</v>
      </c>
      <c r="B1306" t="s">
        <v>2911</v>
      </c>
      <c r="C1306" t="s">
        <v>2713</v>
      </c>
      <c r="D1306" t="s">
        <v>61</v>
      </c>
      <c r="E1306" t="s">
        <v>26</v>
      </c>
      <c r="F1306" t="s">
        <v>17</v>
      </c>
      <c r="G1306" t="str">
        <f>"02"</f>
        <v>02</v>
      </c>
      <c r="H1306" t="str">
        <f>"3  "</f>
        <v xml:space="preserve">3  </v>
      </c>
      <c r="I1306" t="str">
        <f>"2018/02/09"</f>
        <v>2018/02/09</v>
      </c>
      <c r="J1306" t="str">
        <f>"503"</f>
        <v>503</v>
      </c>
      <c r="K1306" t="str">
        <f>"20580929"</f>
        <v>20580929</v>
      </c>
      <c r="L1306" t="s">
        <v>18</v>
      </c>
      <c r="M1306" t="str">
        <f>"20130815"</f>
        <v>20130815</v>
      </c>
    </row>
    <row r="1307" spans="1:13" x14ac:dyDescent="0.25">
      <c r="A1307" t="str">
        <f>"00097393"</f>
        <v>00097393</v>
      </c>
      <c r="B1307" t="s">
        <v>2911</v>
      </c>
      <c r="C1307" t="s">
        <v>358</v>
      </c>
      <c r="D1307" t="s">
        <v>21</v>
      </c>
      <c r="E1307" t="s">
        <v>26</v>
      </c>
      <c r="F1307" t="s">
        <v>17</v>
      </c>
      <c r="G1307" t="str">
        <f>"02"</f>
        <v>02</v>
      </c>
      <c r="H1307" t="str">
        <f>"7  "</f>
        <v xml:space="preserve">7  </v>
      </c>
      <c r="I1307" t="str">
        <f>"1982/08/24"</f>
        <v>1982/08/24</v>
      </c>
      <c r="J1307" t="str">
        <f>"510"</f>
        <v>510</v>
      </c>
      <c r="K1307" t="s">
        <v>18</v>
      </c>
      <c r="L1307" t="str">
        <f>"19980314"</f>
        <v>19980314</v>
      </c>
      <c r="M1307" t="str">
        <f>"19690915"</f>
        <v>19690915</v>
      </c>
    </row>
    <row r="1308" spans="1:13" x14ac:dyDescent="0.25">
      <c r="A1308" t="str">
        <f>"00908701"</f>
        <v>00908701</v>
      </c>
      <c r="B1308" t="s">
        <v>2913</v>
      </c>
      <c r="C1308" t="s">
        <v>115</v>
      </c>
      <c r="D1308" t="s">
        <v>215</v>
      </c>
      <c r="E1308" t="s">
        <v>26</v>
      </c>
      <c r="F1308" t="s">
        <v>17</v>
      </c>
      <c r="G1308" t="str">
        <f>"02"</f>
        <v>02</v>
      </c>
      <c r="H1308" t="str">
        <f>"3  "</f>
        <v xml:space="preserve">3  </v>
      </c>
      <c r="I1308" t="str">
        <f>"2020/08/11"</f>
        <v>2020/08/11</v>
      </c>
      <c r="J1308" t="str">
        <f>"510"</f>
        <v>510</v>
      </c>
      <c r="K1308" t="str">
        <f>"20220223"</f>
        <v>20220223</v>
      </c>
      <c r="L1308" t="s">
        <v>18</v>
      </c>
      <c r="M1308" t="str">
        <f>"20190531"</f>
        <v>20190531</v>
      </c>
    </row>
    <row r="1309" spans="1:13" x14ac:dyDescent="0.25">
      <c r="A1309" t="str">
        <f>"00431714"</f>
        <v>00431714</v>
      </c>
      <c r="B1309" t="s">
        <v>2916</v>
      </c>
      <c r="C1309" t="s">
        <v>1218</v>
      </c>
      <c r="D1309" t="s">
        <v>15</v>
      </c>
      <c r="E1309" t="s">
        <v>16</v>
      </c>
      <c r="F1309" t="s">
        <v>17</v>
      </c>
      <c r="G1309" t="str">
        <f>"02"</f>
        <v>02</v>
      </c>
      <c r="H1309" t="str">
        <f>"0  "</f>
        <v xml:space="preserve">0  </v>
      </c>
      <c r="I1309" t="str">
        <f>"2020/07/08"</f>
        <v>2020/07/08</v>
      </c>
      <c r="J1309" t="str">
        <f>"503"</f>
        <v>503</v>
      </c>
      <c r="K1309" t="s">
        <v>18</v>
      </c>
      <c r="L1309" t="s">
        <v>18</v>
      </c>
      <c r="M1309" t="s">
        <v>18</v>
      </c>
    </row>
    <row r="1310" spans="1:13" x14ac:dyDescent="0.25">
      <c r="A1310" t="str">
        <f>"00290102"</f>
        <v>00290102</v>
      </c>
      <c r="B1310" t="s">
        <v>2918</v>
      </c>
      <c r="C1310" t="s">
        <v>2919</v>
      </c>
      <c r="D1310" t="s">
        <v>31</v>
      </c>
      <c r="E1310" t="s">
        <v>26</v>
      </c>
      <c r="F1310" t="s">
        <v>17</v>
      </c>
      <c r="G1310" t="str">
        <f>"02"</f>
        <v>02</v>
      </c>
      <c r="H1310" t="str">
        <f>"3  "</f>
        <v xml:space="preserve">3  </v>
      </c>
      <c r="I1310" t="str">
        <f>"2009/07/02"</f>
        <v>2009/07/02</v>
      </c>
      <c r="J1310" t="str">
        <f>"110"</f>
        <v>110</v>
      </c>
      <c r="K1310" t="str">
        <f>"20211124"</f>
        <v>20211124</v>
      </c>
      <c r="L1310" t="s">
        <v>18</v>
      </c>
      <c r="M1310" t="str">
        <f>"20081007"</f>
        <v>20081007</v>
      </c>
    </row>
    <row r="1311" spans="1:13" x14ac:dyDescent="0.25">
      <c r="A1311" t="str">
        <f>"00885948"</f>
        <v>00885948</v>
      </c>
      <c r="B1311" t="s">
        <v>2925</v>
      </c>
      <c r="C1311" t="s">
        <v>120</v>
      </c>
      <c r="D1311" t="s">
        <v>25</v>
      </c>
      <c r="E1311" t="s">
        <v>16</v>
      </c>
      <c r="F1311" t="s">
        <v>17</v>
      </c>
      <c r="G1311" t="str">
        <f>"02"</f>
        <v>02</v>
      </c>
      <c r="H1311" t="str">
        <f>"3  "</f>
        <v xml:space="preserve">3  </v>
      </c>
      <c r="I1311" t="str">
        <f>"2019/04/22"</f>
        <v>2019/04/22</v>
      </c>
      <c r="J1311" t="str">
        <f>"503"</f>
        <v>503</v>
      </c>
      <c r="K1311" t="str">
        <f>"20220318"</f>
        <v>20220318</v>
      </c>
      <c r="L1311" t="s">
        <v>18</v>
      </c>
      <c r="M1311" t="str">
        <f>"20190225"</f>
        <v>20190225</v>
      </c>
    </row>
    <row r="1312" spans="1:13" x14ac:dyDescent="0.25">
      <c r="A1312" t="str">
        <f>"00277916"</f>
        <v>00277916</v>
      </c>
      <c r="B1312" t="s">
        <v>2925</v>
      </c>
      <c r="C1312" t="s">
        <v>96</v>
      </c>
      <c r="D1312" t="s">
        <v>16</v>
      </c>
      <c r="E1312" t="s">
        <v>16</v>
      </c>
      <c r="F1312" t="s">
        <v>17</v>
      </c>
      <c r="G1312" t="str">
        <f>"02"</f>
        <v>02</v>
      </c>
      <c r="H1312" t="str">
        <f>"7  "</f>
        <v xml:space="preserve">7  </v>
      </c>
      <c r="I1312" t="str">
        <f>"2001/01/17"</f>
        <v>2001/01/17</v>
      </c>
      <c r="J1312" t="str">
        <f>"533"</f>
        <v>533</v>
      </c>
      <c r="K1312" t="s">
        <v>18</v>
      </c>
      <c r="L1312" t="s">
        <v>18</v>
      </c>
      <c r="M1312" t="str">
        <f>"19911216"</f>
        <v>19911216</v>
      </c>
    </row>
    <row r="1313" spans="1:13" x14ac:dyDescent="0.25">
      <c r="A1313" t="str">
        <f>"00456573"</f>
        <v>00456573</v>
      </c>
      <c r="B1313" t="s">
        <v>2925</v>
      </c>
      <c r="C1313" t="s">
        <v>552</v>
      </c>
      <c r="D1313" t="s">
        <v>25</v>
      </c>
      <c r="E1313" t="s">
        <v>16</v>
      </c>
      <c r="F1313" t="s">
        <v>17</v>
      </c>
      <c r="G1313" t="str">
        <f>"02"</f>
        <v>02</v>
      </c>
      <c r="H1313" t="str">
        <f>"3  "</f>
        <v xml:space="preserve">3  </v>
      </c>
      <c r="I1313" t="str">
        <f>"2020/01/10"</f>
        <v>2020/01/10</v>
      </c>
      <c r="J1313" t="str">
        <f>"510"</f>
        <v>510</v>
      </c>
      <c r="K1313" t="str">
        <f>"20261225"</f>
        <v>20261225</v>
      </c>
      <c r="L1313" t="s">
        <v>18</v>
      </c>
      <c r="M1313" t="str">
        <f>"20180213"</f>
        <v>20180213</v>
      </c>
    </row>
    <row r="1314" spans="1:13" x14ac:dyDescent="0.25">
      <c r="A1314" t="str">
        <f>"00391866"</f>
        <v>00391866</v>
      </c>
      <c r="B1314" t="s">
        <v>2934</v>
      </c>
      <c r="C1314" t="s">
        <v>595</v>
      </c>
      <c r="D1314" t="s">
        <v>40</v>
      </c>
      <c r="E1314" t="s">
        <v>26</v>
      </c>
      <c r="F1314" t="s">
        <v>17</v>
      </c>
      <c r="G1314" t="str">
        <f>"02"</f>
        <v>02</v>
      </c>
      <c r="H1314" t="str">
        <f>"3  "</f>
        <v xml:space="preserve">3  </v>
      </c>
      <c r="I1314" t="str">
        <f>"2020/02/21"</f>
        <v>2020/02/21</v>
      </c>
      <c r="J1314" t="str">
        <f>"503"</f>
        <v>503</v>
      </c>
      <c r="K1314" t="str">
        <f>"20230808"</f>
        <v>20230808</v>
      </c>
      <c r="L1314" t="s">
        <v>18</v>
      </c>
      <c r="M1314" t="str">
        <f>"20180809"</f>
        <v>20180809</v>
      </c>
    </row>
    <row r="1315" spans="1:13" x14ac:dyDescent="0.25">
      <c r="A1315" t="str">
        <f>"00285925"</f>
        <v>00285925</v>
      </c>
      <c r="B1315" t="s">
        <v>2934</v>
      </c>
      <c r="C1315" t="s">
        <v>772</v>
      </c>
      <c r="D1315" t="s">
        <v>21</v>
      </c>
      <c r="E1315" t="s">
        <v>26</v>
      </c>
      <c r="F1315" t="s">
        <v>17</v>
      </c>
      <c r="G1315" t="str">
        <f>"02"</f>
        <v>02</v>
      </c>
      <c r="H1315" t="str">
        <f>"7  "</f>
        <v xml:space="preserve">7  </v>
      </c>
      <c r="I1315" t="str">
        <f>"2018/03/09"</f>
        <v>2018/03/09</v>
      </c>
      <c r="J1315" t="str">
        <f>"110"</f>
        <v>110</v>
      </c>
      <c r="K1315" t="s">
        <v>18</v>
      </c>
      <c r="L1315" t="s">
        <v>18</v>
      </c>
      <c r="M1315" t="str">
        <f>"20150725"</f>
        <v>20150725</v>
      </c>
    </row>
    <row r="1316" spans="1:13" x14ac:dyDescent="0.25">
      <c r="A1316" t="str">
        <f>"00626676"</f>
        <v>00626676</v>
      </c>
      <c r="B1316" t="s">
        <v>2934</v>
      </c>
      <c r="C1316" t="s">
        <v>327</v>
      </c>
      <c r="D1316" t="s">
        <v>47</v>
      </c>
      <c r="E1316" t="s">
        <v>26</v>
      </c>
      <c r="F1316" t="s">
        <v>17</v>
      </c>
      <c r="G1316" t="str">
        <f>"02"</f>
        <v>02</v>
      </c>
      <c r="H1316" t="str">
        <f>"0  "</f>
        <v xml:space="preserve">0  </v>
      </c>
      <c r="I1316" t="str">
        <f>"2020/07/23"</f>
        <v>2020/07/23</v>
      </c>
      <c r="J1316" t="str">
        <f>"420"</f>
        <v>420</v>
      </c>
      <c r="K1316" t="s">
        <v>18</v>
      </c>
      <c r="L1316" t="s">
        <v>18</v>
      </c>
      <c r="M1316" t="s">
        <v>18</v>
      </c>
    </row>
    <row r="1317" spans="1:13" x14ac:dyDescent="0.25">
      <c r="A1317" t="str">
        <f>"00313940"</f>
        <v>00313940</v>
      </c>
      <c r="B1317" t="s">
        <v>2934</v>
      </c>
      <c r="C1317" t="s">
        <v>2938</v>
      </c>
      <c r="D1317" t="s">
        <v>97</v>
      </c>
      <c r="E1317" t="s">
        <v>26</v>
      </c>
      <c r="F1317" t="s">
        <v>17</v>
      </c>
      <c r="G1317" t="str">
        <f>"02"</f>
        <v>02</v>
      </c>
      <c r="H1317" t="str">
        <f>"7  "</f>
        <v xml:space="preserve">7  </v>
      </c>
      <c r="I1317" t="str">
        <f>"2006/02/16"</f>
        <v>2006/02/16</v>
      </c>
      <c r="J1317" t="str">
        <f>"110"</f>
        <v>110</v>
      </c>
      <c r="K1317" t="s">
        <v>18</v>
      </c>
      <c r="L1317" t="s">
        <v>18</v>
      </c>
      <c r="M1317" t="str">
        <f>"20021217"</f>
        <v>20021217</v>
      </c>
    </row>
    <row r="1318" spans="1:13" x14ac:dyDescent="0.25">
      <c r="A1318" t="str">
        <f>"00250109"</f>
        <v>00250109</v>
      </c>
      <c r="B1318" t="s">
        <v>2942</v>
      </c>
      <c r="C1318" t="s">
        <v>244</v>
      </c>
      <c r="D1318" t="s">
        <v>21</v>
      </c>
      <c r="E1318" t="s">
        <v>26</v>
      </c>
      <c r="F1318" t="s">
        <v>17</v>
      </c>
      <c r="G1318" t="str">
        <f>"02"</f>
        <v>02</v>
      </c>
      <c r="H1318" t="str">
        <f>"3  "</f>
        <v xml:space="preserve">3  </v>
      </c>
      <c r="I1318" t="str">
        <f>"2020/03/02"</f>
        <v>2020/03/02</v>
      </c>
      <c r="J1318" t="str">
        <f>"512"</f>
        <v>512</v>
      </c>
      <c r="K1318" t="str">
        <f>"20320511"</f>
        <v>20320511</v>
      </c>
      <c r="L1318" t="s">
        <v>18</v>
      </c>
      <c r="M1318" t="str">
        <f>"20200201"</f>
        <v>20200201</v>
      </c>
    </row>
    <row r="1319" spans="1:13" x14ac:dyDescent="0.25">
      <c r="A1319" t="str">
        <f>"00535347"</f>
        <v>00535347</v>
      </c>
      <c r="B1319" t="s">
        <v>2942</v>
      </c>
      <c r="C1319" t="s">
        <v>640</v>
      </c>
      <c r="D1319" t="s">
        <v>16</v>
      </c>
      <c r="E1319" t="s">
        <v>26</v>
      </c>
      <c r="F1319" t="s">
        <v>17</v>
      </c>
      <c r="G1319" t="str">
        <f>"02"</f>
        <v>02</v>
      </c>
      <c r="H1319" t="str">
        <f>"0  "</f>
        <v xml:space="preserve">0  </v>
      </c>
      <c r="I1319" t="str">
        <f>"2020/08/26"</f>
        <v>2020/08/26</v>
      </c>
      <c r="J1319" t="str">
        <f>"510"</f>
        <v>510</v>
      </c>
      <c r="K1319" t="s">
        <v>18</v>
      </c>
      <c r="L1319" t="s">
        <v>18</v>
      </c>
      <c r="M1319" t="s">
        <v>18</v>
      </c>
    </row>
    <row r="1320" spans="1:13" x14ac:dyDescent="0.25">
      <c r="A1320" t="str">
        <f>"00350721"</f>
        <v>00350721</v>
      </c>
      <c r="B1320" t="s">
        <v>2942</v>
      </c>
      <c r="C1320" t="s">
        <v>2943</v>
      </c>
      <c r="D1320" t="s">
        <v>61</v>
      </c>
      <c r="E1320" t="s">
        <v>26</v>
      </c>
      <c r="F1320" t="s">
        <v>17</v>
      </c>
      <c r="G1320" t="str">
        <f>"02"</f>
        <v>02</v>
      </c>
      <c r="H1320" t="str">
        <f>"3  "</f>
        <v xml:space="preserve">3  </v>
      </c>
      <c r="I1320" t="str">
        <f>"2010/05/03"</f>
        <v>2010/05/03</v>
      </c>
      <c r="J1320" t="str">
        <f>"110"</f>
        <v>110</v>
      </c>
      <c r="K1320" t="str">
        <f>"20241031"</f>
        <v>20241031</v>
      </c>
      <c r="L1320" t="s">
        <v>18</v>
      </c>
      <c r="M1320" t="str">
        <f>"20080910"</f>
        <v>20080910</v>
      </c>
    </row>
    <row r="1321" spans="1:13" x14ac:dyDescent="0.25">
      <c r="A1321" t="str">
        <f>"00482014"</f>
        <v>00482014</v>
      </c>
      <c r="B1321" t="s">
        <v>2946</v>
      </c>
      <c r="C1321" t="s">
        <v>2698</v>
      </c>
      <c r="D1321" t="s">
        <v>25</v>
      </c>
      <c r="E1321" t="s">
        <v>26</v>
      </c>
      <c r="F1321" t="s">
        <v>17</v>
      </c>
      <c r="G1321" t="str">
        <f>"02"</f>
        <v>02</v>
      </c>
      <c r="H1321" t="str">
        <f>"3  "</f>
        <v xml:space="preserve">3  </v>
      </c>
      <c r="I1321" t="str">
        <f>"2013/01/14"</f>
        <v>2013/01/14</v>
      </c>
      <c r="J1321" t="str">
        <f>"110"</f>
        <v>110</v>
      </c>
      <c r="K1321" t="str">
        <f>"20340707"</f>
        <v>20340707</v>
      </c>
      <c r="L1321" t="s">
        <v>18</v>
      </c>
      <c r="M1321" t="str">
        <f>"20110307"</f>
        <v>20110307</v>
      </c>
    </row>
    <row r="1322" spans="1:13" x14ac:dyDescent="0.25">
      <c r="A1322" t="str">
        <f>"00671965"</f>
        <v>00671965</v>
      </c>
      <c r="B1322" t="s">
        <v>2947</v>
      </c>
      <c r="C1322" t="s">
        <v>437</v>
      </c>
      <c r="D1322" t="s">
        <v>37</v>
      </c>
      <c r="E1322" t="s">
        <v>26</v>
      </c>
      <c r="F1322" t="s">
        <v>17</v>
      </c>
      <c r="G1322" t="str">
        <f>"02"</f>
        <v>02</v>
      </c>
      <c r="H1322" t="str">
        <f>"3  "</f>
        <v xml:space="preserve">3  </v>
      </c>
      <c r="I1322" t="str">
        <f>"2020/09/02"</f>
        <v>2020/09/02</v>
      </c>
      <c r="J1322" t="str">
        <f>"533"</f>
        <v>533</v>
      </c>
      <c r="K1322" t="str">
        <f>"20300510"</f>
        <v>20300510</v>
      </c>
      <c r="L1322" t="s">
        <v>18</v>
      </c>
      <c r="M1322" t="str">
        <f>"20100806"</f>
        <v>20100806</v>
      </c>
    </row>
    <row r="1323" spans="1:13" x14ac:dyDescent="0.25">
      <c r="A1323" t="str">
        <f>"00623454"</f>
        <v>00623454</v>
      </c>
      <c r="B1323" t="s">
        <v>2947</v>
      </c>
      <c r="C1323" t="s">
        <v>2948</v>
      </c>
      <c r="D1323" t="s">
        <v>31</v>
      </c>
      <c r="E1323" t="s">
        <v>26</v>
      </c>
      <c r="F1323" t="s">
        <v>17</v>
      </c>
      <c r="G1323" t="str">
        <f>"02"</f>
        <v>02</v>
      </c>
      <c r="H1323" t="str">
        <f>"3  "</f>
        <v xml:space="preserve">3  </v>
      </c>
      <c r="I1323" t="str">
        <f>"2019/06/22"</f>
        <v>2019/06/22</v>
      </c>
      <c r="J1323" t="str">
        <f>"110"</f>
        <v>110</v>
      </c>
      <c r="K1323" t="str">
        <f>"20630219"</f>
        <v>20630219</v>
      </c>
      <c r="L1323" t="s">
        <v>18</v>
      </c>
      <c r="M1323" t="str">
        <f>"20180114"</f>
        <v>20180114</v>
      </c>
    </row>
    <row r="1324" spans="1:13" x14ac:dyDescent="0.25">
      <c r="A1324" t="str">
        <f>"00858603"</f>
        <v>00858603</v>
      </c>
      <c r="B1324" t="s">
        <v>2949</v>
      </c>
      <c r="C1324" t="s">
        <v>135</v>
      </c>
      <c r="D1324" t="s">
        <v>25</v>
      </c>
      <c r="E1324" t="s">
        <v>26</v>
      </c>
      <c r="F1324" t="s">
        <v>17</v>
      </c>
      <c r="G1324" t="str">
        <f>"02"</f>
        <v>02</v>
      </c>
      <c r="H1324" t="str">
        <f>"3  "</f>
        <v xml:space="preserve">3  </v>
      </c>
      <c r="I1324" t="str">
        <f>"2019/08/23"</f>
        <v>2019/08/23</v>
      </c>
      <c r="J1324" t="str">
        <f>"503"</f>
        <v>503</v>
      </c>
      <c r="K1324" t="str">
        <f>"20391208"</f>
        <v>20391208</v>
      </c>
      <c r="L1324" t="s">
        <v>18</v>
      </c>
      <c r="M1324" t="str">
        <f>"20170627"</f>
        <v>20170627</v>
      </c>
    </row>
    <row r="1325" spans="1:13" x14ac:dyDescent="0.25">
      <c r="A1325" t="str">
        <f>"00411120"</f>
        <v>00411120</v>
      </c>
      <c r="B1325" t="s">
        <v>2956</v>
      </c>
      <c r="C1325" t="s">
        <v>2957</v>
      </c>
      <c r="D1325" t="s">
        <v>45</v>
      </c>
      <c r="E1325" t="s">
        <v>26</v>
      </c>
      <c r="F1325" t="s">
        <v>17</v>
      </c>
      <c r="G1325" t="str">
        <f>"02"</f>
        <v>02</v>
      </c>
      <c r="H1325" t="str">
        <f>"3  "</f>
        <v xml:space="preserve">3  </v>
      </c>
      <c r="I1325" t="str">
        <f>"2011/08/29"</f>
        <v>2011/08/29</v>
      </c>
      <c r="J1325" t="str">
        <f>"110"</f>
        <v>110</v>
      </c>
      <c r="K1325" t="str">
        <f>"20321226"</f>
        <v>20321226</v>
      </c>
      <c r="L1325" t="s">
        <v>18</v>
      </c>
      <c r="M1325" t="str">
        <f>"20110213"</f>
        <v>20110213</v>
      </c>
    </row>
    <row r="1326" spans="1:13" x14ac:dyDescent="0.25">
      <c r="A1326" t="str">
        <f>"00778491"</f>
        <v>00778491</v>
      </c>
      <c r="B1326" t="s">
        <v>2960</v>
      </c>
      <c r="C1326" t="s">
        <v>444</v>
      </c>
      <c r="D1326" t="s">
        <v>45</v>
      </c>
      <c r="E1326" t="s">
        <v>16</v>
      </c>
      <c r="F1326" t="s">
        <v>17</v>
      </c>
      <c r="G1326" t="str">
        <f>"02"</f>
        <v>02</v>
      </c>
      <c r="H1326" t="str">
        <f>"3  "</f>
        <v xml:space="preserve">3  </v>
      </c>
      <c r="I1326" t="str">
        <f>"2016/06/03"</f>
        <v>2016/06/03</v>
      </c>
      <c r="J1326" t="str">
        <f>"110"</f>
        <v>110</v>
      </c>
      <c r="K1326" t="str">
        <f>"20210930"</f>
        <v>20210930</v>
      </c>
      <c r="L1326" t="s">
        <v>18</v>
      </c>
      <c r="M1326" t="str">
        <f>"20141006"</f>
        <v>20141006</v>
      </c>
    </row>
    <row r="1327" spans="1:13" x14ac:dyDescent="0.25">
      <c r="A1327" t="str">
        <f>"00148129"</f>
        <v>00148129</v>
      </c>
      <c r="B1327" t="s">
        <v>2961</v>
      </c>
      <c r="C1327" t="s">
        <v>150</v>
      </c>
      <c r="D1327" t="s">
        <v>61</v>
      </c>
      <c r="E1327" t="s">
        <v>16</v>
      </c>
      <c r="F1327" t="s">
        <v>17</v>
      </c>
      <c r="G1327" t="str">
        <f>"02"</f>
        <v>02</v>
      </c>
      <c r="H1327" t="str">
        <f>"7  "</f>
        <v xml:space="preserve">7  </v>
      </c>
      <c r="I1327" t="str">
        <f>"2003/06/30"</f>
        <v>2003/06/30</v>
      </c>
      <c r="J1327" t="str">
        <f>"510"</f>
        <v>510</v>
      </c>
      <c r="K1327" t="s">
        <v>18</v>
      </c>
      <c r="L1327" t="s">
        <v>18</v>
      </c>
      <c r="M1327" t="str">
        <f>"20021221"</f>
        <v>20021221</v>
      </c>
    </row>
    <row r="1328" spans="1:13" x14ac:dyDescent="0.25">
      <c r="A1328" t="str">
        <f>"00618434"</f>
        <v>00618434</v>
      </c>
      <c r="B1328" t="s">
        <v>2962</v>
      </c>
      <c r="C1328" t="s">
        <v>2963</v>
      </c>
      <c r="D1328" t="s">
        <v>142</v>
      </c>
      <c r="E1328" t="s">
        <v>26</v>
      </c>
      <c r="F1328" t="s">
        <v>17</v>
      </c>
      <c r="G1328" t="str">
        <f>"02"</f>
        <v>02</v>
      </c>
      <c r="H1328" t="str">
        <f>"3  "</f>
        <v xml:space="preserve">3  </v>
      </c>
      <c r="I1328" t="str">
        <f>"2009/09/18"</f>
        <v>2009/09/18</v>
      </c>
      <c r="J1328" t="str">
        <f>"110"</f>
        <v>110</v>
      </c>
      <c r="K1328" t="str">
        <f>"20220311"</f>
        <v>20220311</v>
      </c>
      <c r="L1328" t="s">
        <v>18</v>
      </c>
      <c r="M1328" t="str">
        <f>"20090115"</f>
        <v>20090115</v>
      </c>
    </row>
    <row r="1329" spans="1:13" x14ac:dyDescent="0.25">
      <c r="A1329" t="str">
        <f>"00465842"</f>
        <v>00465842</v>
      </c>
      <c r="B1329" t="s">
        <v>2962</v>
      </c>
      <c r="C1329" t="s">
        <v>2302</v>
      </c>
      <c r="D1329" t="s">
        <v>25</v>
      </c>
      <c r="E1329" t="s">
        <v>26</v>
      </c>
      <c r="F1329" t="s">
        <v>17</v>
      </c>
      <c r="G1329" t="str">
        <f>"02"</f>
        <v>02</v>
      </c>
      <c r="H1329" t="str">
        <f>"7  "</f>
        <v xml:space="preserve">7  </v>
      </c>
      <c r="I1329" t="str">
        <f>"2015/09/10"</f>
        <v>2015/09/10</v>
      </c>
      <c r="J1329" t="str">
        <f>"510"</f>
        <v>510</v>
      </c>
      <c r="K1329" t="s">
        <v>18</v>
      </c>
      <c r="L1329" t="s">
        <v>18</v>
      </c>
      <c r="M1329" t="str">
        <f>"20120709"</f>
        <v>20120709</v>
      </c>
    </row>
    <row r="1330" spans="1:13" x14ac:dyDescent="0.25">
      <c r="A1330" t="str">
        <f>"00214555"</f>
        <v>00214555</v>
      </c>
      <c r="B1330" t="s">
        <v>2966</v>
      </c>
      <c r="C1330" t="s">
        <v>22</v>
      </c>
      <c r="D1330" t="s">
        <v>21</v>
      </c>
      <c r="E1330" t="s">
        <v>16</v>
      </c>
      <c r="F1330" t="s">
        <v>17</v>
      </c>
      <c r="G1330" t="str">
        <f>"02"</f>
        <v>02</v>
      </c>
      <c r="H1330" t="str">
        <f>"3  "</f>
        <v xml:space="preserve">3  </v>
      </c>
      <c r="I1330" t="str">
        <f>"1995/01/27"</f>
        <v>1995/01/27</v>
      </c>
      <c r="J1330" t="str">
        <f>"503"</f>
        <v>503</v>
      </c>
      <c r="K1330" t="str">
        <f>"20261206"</f>
        <v>20261206</v>
      </c>
      <c r="L1330" t="s">
        <v>18</v>
      </c>
      <c r="M1330" t="str">
        <f>"19940310"</f>
        <v>19940310</v>
      </c>
    </row>
    <row r="1331" spans="1:13" x14ac:dyDescent="0.25">
      <c r="A1331" t="str">
        <f>"00463722"</f>
        <v>00463722</v>
      </c>
      <c r="B1331" t="s">
        <v>2967</v>
      </c>
      <c r="C1331" t="s">
        <v>169</v>
      </c>
      <c r="D1331" t="s">
        <v>47</v>
      </c>
      <c r="E1331" t="s">
        <v>16</v>
      </c>
      <c r="F1331" t="s">
        <v>17</v>
      </c>
      <c r="G1331" t="str">
        <f>"02"</f>
        <v>02</v>
      </c>
      <c r="H1331" t="str">
        <f>"3  "</f>
        <v xml:space="preserve">3  </v>
      </c>
      <c r="I1331" t="str">
        <f>"2019/05/31"</f>
        <v>2019/05/31</v>
      </c>
      <c r="J1331" t="str">
        <f>"510"</f>
        <v>510</v>
      </c>
      <c r="K1331" t="str">
        <f>"20261004"</f>
        <v>20261004</v>
      </c>
      <c r="L1331" t="s">
        <v>18</v>
      </c>
      <c r="M1331" t="str">
        <f>"20171025"</f>
        <v>20171025</v>
      </c>
    </row>
    <row r="1332" spans="1:13" x14ac:dyDescent="0.25">
      <c r="A1332" t="str">
        <f>"00543059"</f>
        <v>00543059</v>
      </c>
      <c r="B1332" t="s">
        <v>2970</v>
      </c>
      <c r="C1332" t="s">
        <v>55</v>
      </c>
      <c r="D1332" t="s">
        <v>61</v>
      </c>
      <c r="E1332" t="s">
        <v>16</v>
      </c>
      <c r="F1332" t="s">
        <v>17</v>
      </c>
      <c r="G1332" t="str">
        <f>"02"</f>
        <v>02</v>
      </c>
      <c r="H1332" t="str">
        <f>"3  "</f>
        <v xml:space="preserve">3  </v>
      </c>
      <c r="I1332" t="str">
        <f>"2018/08/29"</f>
        <v>2018/08/29</v>
      </c>
      <c r="J1332" t="str">
        <f>"503"</f>
        <v>503</v>
      </c>
      <c r="K1332" t="str">
        <f>"20350814"</f>
        <v>20350814</v>
      </c>
      <c r="L1332" t="s">
        <v>18</v>
      </c>
      <c r="M1332" t="str">
        <f>"20130924"</f>
        <v>20130924</v>
      </c>
    </row>
    <row r="1333" spans="1:13" x14ac:dyDescent="0.25">
      <c r="A1333" t="str">
        <f>"00392220"</f>
        <v>00392220</v>
      </c>
      <c r="B1333" t="s">
        <v>2971</v>
      </c>
      <c r="C1333" t="s">
        <v>71</v>
      </c>
      <c r="D1333" t="s">
        <v>182</v>
      </c>
      <c r="E1333" t="s">
        <v>26</v>
      </c>
      <c r="F1333" t="s">
        <v>17</v>
      </c>
      <c r="G1333" t="str">
        <f>"02"</f>
        <v>02</v>
      </c>
      <c r="H1333" t="str">
        <f>"3  "</f>
        <v xml:space="preserve">3  </v>
      </c>
      <c r="I1333" t="str">
        <f>"2007/01/29"</f>
        <v>2007/01/29</v>
      </c>
      <c r="J1333" t="str">
        <f>"110"</f>
        <v>110</v>
      </c>
      <c r="K1333" t="str">
        <f>"20410223"</f>
        <v>20410223</v>
      </c>
      <c r="L1333" t="s">
        <v>18</v>
      </c>
      <c r="M1333" t="str">
        <f>"20050218"</f>
        <v>20050218</v>
      </c>
    </row>
    <row r="1334" spans="1:13" x14ac:dyDescent="0.25">
      <c r="A1334" t="str">
        <f>"00188716"</f>
        <v>00188716</v>
      </c>
      <c r="B1334" t="s">
        <v>2971</v>
      </c>
      <c r="C1334" t="s">
        <v>49</v>
      </c>
      <c r="D1334" t="s">
        <v>21</v>
      </c>
      <c r="E1334" t="s">
        <v>26</v>
      </c>
      <c r="F1334" t="s">
        <v>17</v>
      </c>
      <c r="G1334" t="str">
        <f>"02"</f>
        <v>02</v>
      </c>
      <c r="H1334" t="str">
        <f>"3  "</f>
        <v xml:space="preserve">3  </v>
      </c>
      <c r="I1334" t="str">
        <f>"2005/04/07"</f>
        <v>2005/04/07</v>
      </c>
      <c r="J1334" t="str">
        <f>"510"</f>
        <v>510</v>
      </c>
      <c r="K1334" t="str">
        <f>"20251230"</f>
        <v>20251230</v>
      </c>
      <c r="L1334" t="s">
        <v>18</v>
      </c>
      <c r="M1334" t="str">
        <f>"20030805"</f>
        <v>20030805</v>
      </c>
    </row>
    <row r="1335" spans="1:13" x14ac:dyDescent="0.25">
      <c r="A1335" t="str">
        <f>"00157653"</f>
        <v>00157653</v>
      </c>
      <c r="B1335" t="s">
        <v>2971</v>
      </c>
      <c r="C1335" t="s">
        <v>2973</v>
      </c>
      <c r="D1335" t="s">
        <v>61</v>
      </c>
      <c r="E1335" t="s">
        <v>26</v>
      </c>
      <c r="F1335" t="s">
        <v>17</v>
      </c>
      <c r="G1335" t="str">
        <f>"02"</f>
        <v>02</v>
      </c>
      <c r="H1335" t="str">
        <f>"7  "</f>
        <v xml:space="preserve">7  </v>
      </c>
      <c r="I1335" t="str">
        <f>"2014/07/17"</f>
        <v>2014/07/17</v>
      </c>
      <c r="J1335" t="str">
        <f>"510"</f>
        <v>510</v>
      </c>
      <c r="K1335" t="s">
        <v>18</v>
      </c>
      <c r="L1335" t="str">
        <f>"20190611"</f>
        <v>20190611</v>
      </c>
      <c r="M1335" t="str">
        <f>"20140227"</f>
        <v>20140227</v>
      </c>
    </row>
    <row r="1336" spans="1:13" x14ac:dyDescent="0.25">
      <c r="A1336" t="str">
        <f>"00175967"</f>
        <v>00175967</v>
      </c>
      <c r="B1336" t="s">
        <v>2971</v>
      </c>
      <c r="C1336" t="s">
        <v>358</v>
      </c>
      <c r="D1336" t="s">
        <v>25</v>
      </c>
      <c r="E1336" t="s">
        <v>26</v>
      </c>
      <c r="F1336" t="s">
        <v>17</v>
      </c>
      <c r="G1336" t="str">
        <f>"02"</f>
        <v>02</v>
      </c>
      <c r="H1336" t="str">
        <f>"3  "</f>
        <v xml:space="preserve">3  </v>
      </c>
      <c r="I1336" t="str">
        <f>"2020/02/12"</f>
        <v>2020/02/12</v>
      </c>
      <c r="J1336" t="str">
        <f>"503"</f>
        <v>503</v>
      </c>
      <c r="K1336" t="str">
        <f>"20330131"</f>
        <v>20330131</v>
      </c>
      <c r="L1336" t="s">
        <v>18</v>
      </c>
      <c r="M1336" t="str">
        <f>"20150424"</f>
        <v>20150424</v>
      </c>
    </row>
    <row r="1337" spans="1:13" x14ac:dyDescent="0.25">
      <c r="A1337" t="str">
        <f>"00244530"</f>
        <v>00244530</v>
      </c>
      <c r="B1337" t="s">
        <v>2971</v>
      </c>
      <c r="C1337" t="s">
        <v>125</v>
      </c>
      <c r="D1337" t="s">
        <v>40</v>
      </c>
      <c r="E1337" t="s">
        <v>16</v>
      </c>
      <c r="F1337" t="s">
        <v>17</v>
      </c>
      <c r="G1337" t="str">
        <f>"02"</f>
        <v>02</v>
      </c>
      <c r="H1337" t="str">
        <f>"7  "</f>
        <v xml:space="preserve">7  </v>
      </c>
      <c r="I1337" t="str">
        <f>"2019/05/28"</f>
        <v>2019/05/28</v>
      </c>
      <c r="J1337" t="str">
        <f>"510"</f>
        <v>510</v>
      </c>
      <c r="K1337" t="s">
        <v>18</v>
      </c>
      <c r="L1337" t="s">
        <v>18</v>
      </c>
      <c r="M1337" t="str">
        <f>"20161007"</f>
        <v>20161007</v>
      </c>
    </row>
    <row r="1338" spans="1:13" x14ac:dyDescent="0.25">
      <c r="A1338" t="str">
        <f>"00375701"</f>
        <v>00375701</v>
      </c>
      <c r="B1338" t="s">
        <v>2977</v>
      </c>
      <c r="C1338" t="s">
        <v>540</v>
      </c>
      <c r="D1338" t="s">
        <v>16</v>
      </c>
      <c r="E1338" t="s">
        <v>26</v>
      </c>
      <c r="F1338" t="s">
        <v>17</v>
      </c>
      <c r="G1338" t="str">
        <f>"02"</f>
        <v>02</v>
      </c>
      <c r="H1338" t="str">
        <f>"3  "</f>
        <v xml:space="preserve">3  </v>
      </c>
      <c r="I1338" t="str">
        <f>"2018/05/07"</f>
        <v>2018/05/07</v>
      </c>
      <c r="J1338" t="str">
        <f>"510"</f>
        <v>510</v>
      </c>
      <c r="K1338" t="str">
        <f>"20220510"</f>
        <v>20220510</v>
      </c>
      <c r="L1338" t="s">
        <v>18</v>
      </c>
      <c r="M1338" t="str">
        <f>"20171221"</f>
        <v>20171221</v>
      </c>
    </row>
    <row r="1339" spans="1:13" x14ac:dyDescent="0.25">
      <c r="A1339" t="str">
        <f>"00494776"</f>
        <v>00494776</v>
      </c>
      <c r="B1339" t="s">
        <v>2977</v>
      </c>
      <c r="C1339" t="s">
        <v>2978</v>
      </c>
      <c r="D1339" t="s">
        <v>25</v>
      </c>
      <c r="E1339" t="s">
        <v>26</v>
      </c>
      <c r="F1339" t="s">
        <v>17</v>
      </c>
      <c r="G1339" t="str">
        <f>"02"</f>
        <v>02</v>
      </c>
      <c r="H1339" t="str">
        <f>"3  "</f>
        <v xml:space="preserve">3  </v>
      </c>
      <c r="I1339" t="str">
        <f>"2018/02/12"</f>
        <v>2018/02/12</v>
      </c>
      <c r="J1339" t="str">
        <f>"510"</f>
        <v>510</v>
      </c>
      <c r="K1339" t="str">
        <f>"20690502"</f>
        <v>20690502</v>
      </c>
      <c r="L1339" t="s">
        <v>18</v>
      </c>
      <c r="M1339" t="str">
        <f>"20170130"</f>
        <v>20170130</v>
      </c>
    </row>
    <row r="1340" spans="1:13" x14ac:dyDescent="0.25">
      <c r="A1340" t="str">
        <f>"00140236"</f>
        <v>00140236</v>
      </c>
      <c r="B1340" t="s">
        <v>2980</v>
      </c>
      <c r="C1340" t="s">
        <v>2462</v>
      </c>
      <c r="D1340" t="s">
        <v>51</v>
      </c>
      <c r="E1340" t="s">
        <v>26</v>
      </c>
      <c r="F1340" t="s">
        <v>17</v>
      </c>
      <c r="G1340" t="str">
        <f>"02"</f>
        <v>02</v>
      </c>
      <c r="H1340" t="str">
        <f>"3  "</f>
        <v xml:space="preserve">3  </v>
      </c>
      <c r="I1340" t="str">
        <f>"2020/08/05"</f>
        <v>2020/08/05</v>
      </c>
      <c r="J1340" t="str">
        <f>"533"</f>
        <v>533</v>
      </c>
      <c r="K1340" t="str">
        <f>"20250325"</f>
        <v>20250325</v>
      </c>
      <c r="L1340" t="s">
        <v>18</v>
      </c>
      <c r="M1340" t="str">
        <f>"20000228"</f>
        <v>20000228</v>
      </c>
    </row>
    <row r="1341" spans="1:13" x14ac:dyDescent="0.25">
      <c r="A1341" t="str">
        <f>"00184129"</f>
        <v>00184129</v>
      </c>
      <c r="B1341" t="s">
        <v>2982</v>
      </c>
      <c r="C1341" t="s">
        <v>68</v>
      </c>
      <c r="D1341" t="s">
        <v>16</v>
      </c>
      <c r="E1341" t="s">
        <v>16</v>
      </c>
      <c r="F1341" t="s">
        <v>17</v>
      </c>
      <c r="G1341" t="str">
        <f>"02"</f>
        <v>02</v>
      </c>
      <c r="H1341" t="str">
        <f>"3  "</f>
        <v xml:space="preserve">3  </v>
      </c>
      <c r="I1341" t="str">
        <f>"2001/05/02"</f>
        <v>2001/05/02</v>
      </c>
      <c r="J1341" t="str">
        <f>"503"</f>
        <v>503</v>
      </c>
      <c r="K1341" t="str">
        <f>"20240822"</f>
        <v>20240822</v>
      </c>
      <c r="L1341" t="s">
        <v>18</v>
      </c>
      <c r="M1341" t="str">
        <f>"19900810"</f>
        <v>19900810</v>
      </c>
    </row>
    <row r="1342" spans="1:13" x14ac:dyDescent="0.25">
      <c r="A1342" t="str">
        <f>"00888603"</f>
        <v>00888603</v>
      </c>
      <c r="B1342" t="s">
        <v>2982</v>
      </c>
      <c r="C1342" t="s">
        <v>2983</v>
      </c>
      <c r="D1342" t="s">
        <v>25</v>
      </c>
      <c r="E1342" t="s">
        <v>26</v>
      </c>
      <c r="F1342" t="s">
        <v>17</v>
      </c>
      <c r="G1342" t="str">
        <f>"02"</f>
        <v>02</v>
      </c>
      <c r="H1342" t="str">
        <f>"3  "</f>
        <v xml:space="preserve">3  </v>
      </c>
      <c r="I1342" t="str">
        <f>"2019/03/15"</f>
        <v>2019/03/15</v>
      </c>
      <c r="J1342" t="str">
        <f>"510"</f>
        <v>510</v>
      </c>
      <c r="K1342" t="str">
        <f>"20230310"</f>
        <v>20230310</v>
      </c>
      <c r="L1342" t="s">
        <v>18</v>
      </c>
      <c r="M1342" t="str">
        <f>"20180827"</f>
        <v>20180827</v>
      </c>
    </row>
    <row r="1343" spans="1:13" x14ac:dyDescent="0.25">
      <c r="A1343" t="str">
        <f>"00482954"</f>
        <v>00482954</v>
      </c>
      <c r="B1343" t="s">
        <v>2985</v>
      </c>
      <c r="C1343" t="s">
        <v>96</v>
      </c>
      <c r="D1343" t="s">
        <v>25</v>
      </c>
      <c r="E1343" t="s">
        <v>16</v>
      </c>
      <c r="F1343" t="s">
        <v>17</v>
      </c>
      <c r="G1343" t="str">
        <f>"02"</f>
        <v>02</v>
      </c>
      <c r="H1343" t="str">
        <f>"3  "</f>
        <v xml:space="preserve">3  </v>
      </c>
      <c r="I1343" t="str">
        <f>"2020/02/28"</f>
        <v>2020/02/28</v>
      </c>
      <c r="J1343" t="str">
        <f>"512"</f>
        <v>512</v>
      </c>
      <c r="K1343" t="str">
        <f>"20260505"</f>
        <v>20260505</v>
      </c>
      <c r="L1343" t="s">
        <v>18</v>
      </c>
      <c r="M1343" t="str">
        <f>"20200108"</f>
        <v>20200108</v>
      </c>
    </row>
    <row r="1344" spans="1:13" x14ac:dyDescent="0.25">
      <c r="A1344" t="str">
        <f>"00394012"</f>
        <v>00394012</v>
      </c>
      <c r="B1344" t="s">
        <v>2988</v>
      </c>
      <c r="C1344" t="s">
        <v>772</v>
      </c>
      <c r="D1344" t="s">
        <v>16</v>
      </c>
      <c r="E1344" t="s">
        <v>16</v>
      </c>
      <c r="F1344" t="s">
        <v>17</v>
      </c>
      <c r="G1344" t="str">
        <f>"02"</f>
        <v>02</v>
      </c>
      <c r="H1344" t="str">
        <f>"7  "</f>
        <v xml:space="preserve">7  </v>
      </c>
      <c r="I1344" t="str">
        <f>"2003/08/25"</f>
        <v>2003/08/25</v>
      </c>
      <c r="J1344" t="str">
        <f>"110"</f>
        <v>110</v>
      </c>
      <c r="K1344" t="s">
        <v>18</v>
      </c>
      <c r="L1344" t="s">
        <v>18</v>
      </c>
      <c r="M1344" t="str">
        <f>"20011106"</f>
        <v>20011106</v>
      </c>
    </row>
    <row r="1345" spans="1:13" x14ac:dyDescent="0.25">
      <c r="A1345" t="str">
        <f>"00687041"</f>
        <v>00687041</v>
      </c>
      <c r="B1345" t="s">
        <v>2993</v>
      </c>
      <c r="C1345" t="s">
        <v>2994</v>
      </c>
      <c r="D1345" t="s">
        <v>51</v>
      </c>
      <c r="E1345" t="s">
        <v>26</v>
      </c>
      <c r="F1345" t="s">
        <v>17</v>
      </c>
      <c r="G1345" t="str">
        <f>"02"</f>
        <v>02</v>
      </c>
      <c r="H1345" t="str">
        <f>"3  "</f>
        <v xml:space="preserve">3  </v>
      </c>
      <c r="I1345" t="str">
        <f>"2018/09/04"</f>
        <v>2018/09/04</v>
      </c>
      <c r="J1345" t="str">
        <f>"110"</f>
        <v>110</v>
      </c>
      <c r="K1345" t="str">
        <f>"20220524"</f>
        <v>20220524</v>
      </c>
      <c r="L1345" t="s">
        <v>18</v>
      </c>
      <c r="M1345" t="str">
        <f>"20171220"</f>
        <v>20171220</v>
      </c>
    </row>
    <row r="1346" spans="1:13" x14ac:dyDescent="0.25">
      <c r="A1346" t="str">
        <f>"00434051"</f>
        <v>00434051</v>
      </c>
      <c r="B1346" t="s">
        <v>3001</v>
      </c>
      <c r="C1346" t="s">
        <v>524</v>
      </c>
      <c r="D1346" t="s">
        <v>25</v>
      </c>
      <c r="E1346" t="s">
        <v>26</v>
      </c>
      <c r="F1346" t="s">
        <v>17</v>
      </c>
      <c r="G1346" t="str">
        <f>"02"</f>
        <v>02</v>
      </c>
      <c r="H1346" t="str">
        <f>"3  "</f>
        <v xml:space="preserve">3  </v>
      </c>
      <c r="I1346" t="str">
        <f>"2020/01/06"</f>
        <v>2020/01/06</v>
      </c>
      <c r="J1346" t="str">
        <f>"510"</f>
        <v>510</v>
      </c>
      <c r="K1346" t="str">
        <f>"20241025"</f>
        <v>20241025</v>
      </c>
      <c r="L1346" t="s">
        <v>18</v>
      </c>
      <c r="M1346" t="str">
        <f>"20190520"</f>
        <v>20190520</v>
      </c>
    </row>
    <row r="1347" spans="1:13" x14ac:dyDescent="0.25">
      <c r="A1347" t="str">
        <f>"00383174"</f>
        <v>00383174</v>
      </c>
      <c r="B1347" t="s">
        <v>3003</v>
      </c>
      <c r="C1347" t="s">
        <v>140</v>
      </c>
      <c r="D1347" t="s">
        <v>25</v>
      </c>
      <c r="E1347" t="s">
        <v>16</v>
      </c>
      <c r="F1347" t="s">
        <v>17</v>
      </c>
      <c r="G1347" t="str">
        <f>"02"</f>
        <v>02</v>
      </c>
      <c r="H1347" t="str">
        <f>"3  "</f>
        <v xml:space="preserve">3  </v>
      </c>
      <c r="I1347" t="str">
        <f>"2015/10/06"</f>
        <v>2015/10/06</v>
      </c>
      <c r="J1347" t="str">
        <f>"110"</f>
        <v>110</v>
      </c>
      <c r="K1347" t="str">
        <f>"20201130"</f>
        <v>20201130</v>
      </c>
      <c r="L1347" t="s">
        <v>18</v>
      </c>
      <c r="M1347" t="str">
        <f>"20140731"</f>
        <v>20140731</v>
      </c>
    </row>
    <row r="1348" spans="1:13" x14ac:dyDescent="0.25">
      <c r="A1348" t="str">
        <f>"00321379"</f>
        <v>00321379</v>
      </c>
      <c r="B1348" t="s">
        <v>3003</v>
      </c>
      <c r="C1348" t="s">
        <v>3004</v>
      </c>
      <c r="D1348" t="s">
        <v>25</v>
      </c>
      <c r="E1348" t="s">
        <v>26</v>
      </c>
      <c r="F1348" t="s">
        <v>17</v>
      </c>
      <c r="G1348" t="str">
        <f>"02"</f>
        <v>02</v>
      </c>
      <c r="H1348" t="str">
        <f>"3  "</f>
        <v xml:space="preserve">3  </v>
      </c>
      <c r="I1348" t="str">
        <f>"2020/09/16"</f>
        <v>2020/09/16</v>
      </c>
      <c r="J1348" t="str">
        <f>"533"</f>
        <v>533</v>
      </c>
      <c r="K1348" t="str">
        <f>"20430226"</f>
        <v>20430226</v>
      </c>
      <c r="L1348" t="s">
        <v>18</v>
      </c>
      <c r="M1348" t="str">
        <f>"20020115"</f>
        <v>20020115</v>
      </c>
    </row>
    <row r="1349" spans="1:13" x14ac:dyDescent="0.25">
      <c r="A1349" t="str">
        <f>"00615543"</f>
        <v>00615543</v>
      </c>
      <c r="B1349" t="s">
        <v>3008</v>
      </c>
      <c r="C1349" t="s">
        <v>3009</v>
      </c>
      <c r="D1349" t="s">
        <v>215</v>
      </c>
      <c r="E1349" t="s">
        <v>26</v>
      </c>
      <c r="F1349" t="s">
        <v>17</v>
      </c>
      <c r="G1349" t="str">
        <f>"02"</f>
        <v>02</v>
      </c>
      <c r="H1349" t="str">
        <f>"3  "</f>
        <v xml:space="preserve">3  </v>
      </c>
      <c r="I1349" t="str">
        <f>"2009/06/24"</f>
        <v>2009/06/24</v>
      </c>
      <c r="J1349" t="str">
        <f>"120"</f>
        <v>120</v>
      </c>
      <c r="K1349" t="str">
        <f>"20210115"</f>
        <v>20210115</v>
      </c>
      <c r="L1349" t="s">
        <v>18</v>
      </c>
      <c r="M1349" t="str">
        <f>"20080404"</f>
        <v>20080404</v>
      </c>
    </row>
    <row r="1350" spans="1:13" x14ac:dyDescent="0.25">
      <c r="A1350" t="str">
        <f>"00552159"</f>
        <v>00552159</v>
      </c>
      <c r="B1350" t="s">
        <v>3017</v>
      </c>
      <c r="C1350" t="s">
        <v>1064</v>
      </c>
      <c r="D1350" t="s">
        <v>25</v>
      </c>
      <c r="E1350" t="s">
        <v>26</v>
      </c>
      <c r="F1350" t="s">
        <v>17</v>
      </c>
      <c r="G1350" t="str">
        <f>"02"</f>
        <v>02</v>
      </c>
      <c r="H1350" t="str">
        <f>"3  "</f>
        <v xml:space="preserve">3  </v>
      </c>
      <c r="I1350" t="str">
        <f>"2014/07/15"</f>
        <v>2014/07/15</v>
      </c>
      <c r="J1350" t="str">
        <f>"510"</f>
        <v>510</v>
      </c>
      <c r="K1350" t="str">
        <f>"20210615"</f>
        <v>20210615</v>
      </c>
      <c r="L1350" t="s">
        <v>18</v>
      </c>
      <c r="M1350" t="str">
        <f>"20111228"</f>
        <v>20111228</v>
      </c>
    </row>
    <row r="1351" spans="1:13" x14ac:dyDescent="0.25">
      <c r="A1351" t="str">
        <f>"00442365"</f>
        <v>00442365</v>
      </c>
      <c r="B1351" t="s">
        <v>3020</v>
      </c>
      <c r="C1351" t="s">
        <v>14</v>
      </c>
      <c r="D1351" t="s">
        <v>21</v>
      </c>
      <c r="E1351" t="s">
        <v>26</v>
      </c>
      <c r="F1351" t="s">
        <v>17</v>
      </c>
      <c r="G1351" t="str">
        <f>"02"</f>
        <v>02</v>
      </c>
      <c r="H1351" t="str">
        <f>"3  "</f>
        <v xml:space="preserve">3  </v>
      </c>
      <c r="I1351" t="str">
        <f>"2018/12/03"</f>
        <v>2018/12/03</v>
      </c>
      <c r="J1351" t="str">
        <f>"110"</f>
        <v>110</v>
      </c>
      <c r="K1351" t="str">
        <f>"20230416"</f>
        <v>20230416</v>
      </c>
      <c r="L1351" t="s">
        <v>18</v>
      </c>
      <c r="M1351" t="str">
        <f>"20180417"</f>
        <v>20180417</v>
      </c>
    </row>
    <row r="1352" spans="1:13" x14ac:dyDescent="0.25">
      <c r="A1352" t="str">
        <f>"00668324"</f>
        <v>00668324</v>
      </c>
      <c r="B1352" t="s">
        <v>3020</v>
      </c>
      <c r="C1352" t="s">
        <v>136</v>
      </c>
      <c r="D1352" t="s">
        <v>47</v>
      </c>
      <c r="E1352" t="s">
        <v>26</v>
      </c>
      <c r="F1352" t="s">
        <v>17</v>
      </c>
      <c r="G1352" t="str">
        <f>"02"</f>
        <v>02</v>
      </c>
      <c r="H1352" t="str">
        <f>"3  "</f>
        <v xml:space="preserve">3  </v>
      </c>
      <c r="I1352" t="str">
        <f>"2019/09/10"</f>
        <v>2019/09/10</v>
      </c>
      <c r="J1352" t="str">
        <f>"510"</f>
        <v>510</v>
      </c>
      <c r="K1352" t="str">
        <f>"20640813"</f>
        <v>20640813</v>
      </c>
      <c r="L1352" t="s">
        <v>18</v>
      </c>
      <c r="M1352" t="str">
        <f>"20190822"</f>
        <v>20190822</v>
      </c>
    </row>
    <row r="1353" spans="1:13" x14ac:dyDescent="0.25">
      <c r="A1353" t="str">
        <f>"00454309"</f>
        <v>00454309</v>
      </c>
      <c r="B1353" t="s">
        <v>3020</v>
      </c>
      <c r="C1353" t="s">
        <v>3022</v>
      </c>
      <c r="D1353" t="s">
        <v>456</v>
      </c>
      <c r="E1353" t="s">
        <v>26</v>
      </c>
      <c r="F1353" t="s">
        <v>17</v>
      </c>
      <c r="G1353" t="str">
        <f>"02"</f>
        <v>02</v>
      </c>
      <c r="H1353" t="str">
        <f>"7  "</f>
        <v xml:space="preserve">7  </v>
      </c>
      <c r="I1353" t="str">
        <f>"2005/09/21"</f>
        <v>2005/09/21</v>
      </c>
      <c r="J1353" t="str">
        <f>"534"</f>
        <v>534</v>
      </c>
      <c r="K1353" t="s">
        <v>18</v>
      </c>
      <c r="L1353" t="s">
        <v>18</v>
      </c>
      <c r="M1353" t="str">
        <f>"20020212"</f>
        <v>20020212</v>
      </c>
    </row>
    <row r="1354" spans="1:13" x14ac:dyDescent="0.25">
      <c r="A1354" t="str">
        <f>"00373921"</f>
        <v>00373921</v>
      </c>
      <c r="B1354" t="s">
        <v>3027</v>
      </c>
      <c r="C1354" t="s">
        <v>492</v>
      </c>
      <c r="D1354" t="s">
        <v>61</v>
      </c>
      <c r="E1354" t="s">
        <v>26</v>
      </c>
      <c r="F1354" t="s">
        <v>17</v>
      </c>
      <c r="G1354" t="str">
        <f>"02"</f>
        <v>02</v>
      </c>
      <c r="H1354" t="str">
        <f>"3  "</f>
        <v xml:space="preserve">3  </v>
      </c>
      <c r="I1354" t="str">
        <f>"2018/07/13"</f>
        <v>2018/07/13</v>
      </c>
      <c r="J1354" t="str">
        <f>"510"</f>
        <v>510</v>
      </c>
      <c r="K1354" t="str">
        <f>"20280415"</f>
        <v>20280415</v>
      </c>
      <c r="L1354" t="s">
        <v>18</v>
      </c>
      <c r="M1354" t="str">
        <f>"20170920"</f>
        <v>20170920</v>
      </c>
    </row>
    <row r="1355" spans="1:13" x14ac:dyDescent="0.25">
      <c r="A1355" t="str">
        <f>"00211191"</f>
        <v>00211191</v>
      </c>
      <c r="B1355" t="s">
        <v>3037</v>
      </c>
      <c r="C1355" t="s">
        <v>563</v>
      </c>
      <c r="D1355" t="s">
        <v>26</v>
      </c>
      <c r="E1355" t="s">
        <v>26</v>
      </c>
      <c r="F1355" t="s">
        <v>17</v>
      </c>
      <c r="G1355" t="str">
        <f>"02"</f>
        <v>02</v>
      </c>
      <c r="H1355" t="str">
        <f>"7  "</f>
        <v xml:space="preserve">7  </v>
      </c>
      <c r="I1355" t="str">
        <f>"2007/12/03"</f>
        <v>2007/12/03</v>
      </c>
      <c r="J1355" t="str">
        <f>"110"</f>
        <v>110</v>
      </c>
      <c r="K1355" t="s">
        <v>18</v>
      </c>
      <c r="L1355" t="s">
        <v>18</v>
      </c>
      <c r="M1355" t="str">
        <f>"20061211"</f>
        <v>20061211</v>
      </c>
    </row>
    <row r="1356" spans="1:13" x14ac:dyDescent="0.25">
      <c r="A1356" t="str">
        <f>"00125985"</f>
        <v>00125985</v>
      </c>
      <c r="B1356" t="s">
        <v>3038</v>
      </c>
      <c r="C1356" t="s">
        <v>74</v>
      </c>
      <c r="D1356" t="s">
        <v>31</v>
      </c>
      <c r="E1356" t="s">
        <v>16</v>
      </c>
      <c r="F1356" t="s">
        <v>17</v>
      </c>
      <c r="G1356" t="str">
        <f>"02"</f>
        <v>02</v>
      </c>
      <c r="H1356" t="str">
        <f>"3  "</f>
        <v xml:space="preserve">3  </v>
      </c>
      <c r="I1356" t="str">
        <f>"2018/08/27"</f>
        <v>2018/08/27</v>
      </c>
      <c r="J1356" t="str">
        <f>"503"</f>
        <v>503</v>
      </c>
      <c r="K1356" t="str">
        <f>"20210828"</f>
        <v>20210828</v>
      </c>
      <c r="L1356" t="s">
        <v>18</v>
      </c>
      <c r="M1356" t="str">
        <f>"20080110"</f>
        <v>20080110</v>
      </c>
    </row>
    <row r="1357" spans="1:13" x14ac:dyDescent="0.25">
      <c r="A1357" t="str">
        <f>"00430513"</f>
        <v>00430513</v>
      </c>
      <c r="B1357" t="s">
        <v>3042</v>
      </c>
      <c r="C1357" t="s">
        <v>3043</v>
      </c>
      <c r="D1357" t="s">
        <v>61</v>
      </c>
      <c r="E1357" t="s">
        <v>26</v>
      </c>
      <c r="F1357" t="s">
        <v>17</v>
      </c>
      <c r="G1357" t="str">
        <f>"02"</f>
        <v>02</v>
      </c>
      <c r="H1357" t="str">
        <f>"7  "</f>
        <v xml:space="preserve">7  </v>
      </c>
      <c r="I1357" t="str">
        <f>"2001/12/03"</f>
        <v>2001/12/03</v>
      </c>
      <c r="J1357" t="str">
        <f>"510"</f>
        <v>510</v>
      </c>
      <c r="K1357" t="s">
        <v>18</v>
      </c>
      <c r="L1357" t="s">
        <v>18</v>
      </c>
      <c r="M1357" t="str">
        <f>"20000224"</f>
        <v>20000224</v>
      </c>
    </row>
    <row r="1358" spans="1:13" x14ac:dyDescent="0.25">
      <c r="A1358" t="str">
        <f>"00185250"</f>
        <v>00185250</v>
      </c>
      <c r="B1358" t="s">
        <v>3046</v>
      </c>
      <c r="C1358" t="s">
        <v>886</v>
      </c>
      <c r="D1358" t="s">
        <v>25</v>
      </c>
      <c r="E1358" t="s">
        <v>26</v>
      </c>
      <c r="F1358" t="s">
        <v>17</v>
      </c>
      <c r="G1358" t="str">
        <f>"02"</f>
        <v>02</v>
      </c>
      <c r="H1358" t="str">
        <f>"3  "</f>
        <v xml:space="preserve">3  </v>
      </c>
      <c r="I1358" t="str">
        <f>"2018/02/09"</f>
        <v>2018/02/09</v>
      </c>
      <c r="J1358" t="str">
        <f>"110"</f>
        <v>110</v>
      </c>
      <c r="K1358" t="str">
        <f>"20310501"</f>
        <v>20310501</v>
      </c>
      <c r="L1358" t="s">
        <v>18</v>
      </c>
      <c r="M1358" t="str">
        <f>"20161127"</f>
        <v>20161127</v>
      </c>
    </row>
    <row r="1359" spans="1:13" x14ac:dyDescent="0.25">
      <c r="A1359" t="str">
        <f>"00318353"</f>
        <v>00318353</v>
      </c>
      <c r="B1359" t="s">
        <v>3047</v>
      </c>
      <c r="C1359" t="s">
        <v>191</v>
      </c>
      <c r="D1359" t="s">
        <v>53</v>
      </c>
      <c r="E1359" t="s">
        <v>26</v>
      </c>
      <c r="F1359" t="s">
        <v>17</v>
      </c>
      <c r="G1359" t="str">
        <f>"02"</f>
        <v>02</v>
      </c>
      <c r="H1359" t="str">
        <f>"3  "</f>
        <v xml:space="preserve">3  </v>
      </c>
      <c r="I1359" t="str">
        <f>"2017/06/19"</f>
        <v>2017/06/19</v>
      </c>
      <c r="J1359" t="str">
        <f>"110"</f>
        <v>110</v>
      </c>
      <c r="K1359" t="str">
        <f>"20410708"</f>
        <v>20410708</v>
      </c>
      <c r="L1359" t="s">
        <v>18</v>
      </c>
      <c r="M1359" t="str">
        <f>"20160724"</f>
        <v>20160724</v>
      </c>
    </row>
    <row r="1360" spans="1:13" x14ac:dyDescent="0.25">
      <c r="A1360" t="str">
        <f>"00336198"</f>
        <v>00336198</v>
      </c>
      <c r="B1360" t="s">
        <v>3047</v>
      </c>
      <c r="C1360" t="s">
        <v>3048</v>
      </c>
      <c r="D1360" t="s">
        <v>21</v>
      </c>
      <c r="E1360" t="s">
        <v>26</v>
      </c>
      <c r="F1360" t="s">
        <v>17</v>
      </c>
      <c r="G1360" t="str">
        <f>"02"</f>
        <v>02</v>
      </c>
      <c r="H1360" t="str">
        <f>"3  "</f>
        <v xml:space="preserve">3  </v>
      </c>
      <c r="I1360" t="str">
        <f>"2012/05/02"</f>
        <v>2012/05/02</v>
      </c>
      <c r="J1360" t="str">
        <f>"110"</f>
        <v>110</v>
      </c>
      <c r="K1360" t="str">
        <f>"20380415"</f>
        <v>20380415</v>
      </c>
      <c r="L1360" t="s">
        <v>18</v>
      </c>
      <c r="M1360" t="str">
        <f>"20110718"</f>
        <v>20110718</v>
      </c>
    </row>
    <row r="1361" spans="1:13" x14ac:dyDescent="0.25">
      <c r="A1361" t="str">
        <f>"00449155"</f>
        <v>00449155</v>
      </c>
      <c r="B1361" t="s">
        <v>3047</v>
      </c>
      <c r="C1361" t="s">
        <v>320</v>
      </c>
      <c r="D1361" t="s">
        <v>37</v>
      </c>
      <c r="E1361" t="s">
        <v>26</v>
      </c>
      <c r="F1361" t="s">
        <v>17</v>
      </c>
      <c r="G1361" t="str">
        <f>"02"</f>
        <v>02</v>
      </c>
      <c r="H1361" t="str">
        <f>"3  "</f>
        <v xml:space="preserve">3  </v>
      </c>
      <c r="I1361" t="str">
        <f>"2020/09/02"</f>
        <v>2020/09/02</v>
      </c>
      <c r="J1361" t="str">
        <f>"533"</f>
        <v>533</v>
      </c>
      <c r="K1361" t="str">
        <f>"20450918"</f>
        <v>20450918</v>
      </c>
      <c r="L1361" t="s">
        <v>18</v>
      </c>
      <c r="M1361" t="str">
        <f>"20070123"</f>
        <v>20070123</v>
      </c>
    </row>
    <row r="1362" spans="1:13" x14ac:dyDescent="0.25">
      <c r="A1362" t="str">
        <f>"00232300"</f>
        <v>00232300</v>
      </c>
      <c r="B1362" t="s">
        <v>3047</v>
      </c>
      <c r="C1362" t="s">
        <v>74</v>
      </c>
      <c r="D1362" t="s">
        <v>21</v>
      </c>
      <c r="E1362" t="s">
        <v>26</v>
      </c>
      <c r="F1362" t="s">
        <v>17</v>
      </c>
      <c r="G1362" t="str">
        <f>"02"</f>
        <v>02</v>
      </c>
      <c r="H1362" t="str">
        <f>"7  "</f>
        <v xml:space="preserve">7  </v>
      </c>
      <c r="I1362" t="str">
        <f>"2014/07/16"</f>
        <v>2014/07/16</v>
      </c>
      <c r="J1362" t="str">
        <f>"503"</f>
        <v>503</v>
      </c>
      <c r="K1362" t="s">
        <v>18</v>
      </c>
      <c r="L1362" t="s">
        <v>18</v>
      </c>
      <c r="M1362" t="str">
        <f>"20111102"</f>
        <v>20111102</v>
      </c>
    </row>
    <row r="1363" spans="1:13" x14ac:dyDescent="0.25">
      <c r="A1363" t="str">
        <f>"00276834"</f>
        <v>00276834</v>
      </c>
      <c r="B1363" t="s">
        <v>3052</v>
      </c>
      <c r="C1363" t="s">
        <v>14</v>
      </c>
      <c r="D1363" t="s">
        <v>21</v>
      </c>
      <c r="E1363" t="s">
        <v>26</v>
      </c>
      <c r="F1363" t="s">
        <v>17</v>
      </c>
      <c r="G1363" t="str">
        <f>"02"</f>
        <v>02</v>
      </c>
      <c r="H1363" t="str">
        <f>"3  "</f>
        <v xml:space="preserve">3  </v>
      </c>
      <c r="I1363" t="str">
        <f>"2008/09/05"</f>
        <v>2008/09/05</v>
      </c>
      <c r="J1363" t="str">
        <f>"503"</f>
        <v>503</v>
      </c>
      <c r="K1363" t="str">
        <f>"20241215"</f>
        <v>20241215</v>
      </c>
      <c r="L1363" t="s">
        <v>18</v>
      </c>
      <c r="M1363" t="str">
        <f>"20071031"</f>
        <v>20071031</v>
      </c>
    </row>
    <row r="1364" spans="1:13" x14ac:dyDescent="0.25">
      <c r="A1364" t="str">
        <f>"00706672"</f>
        <v>00706672</v>
      </c>
      <c r="B1364" t="s">
        <v>3053</v>
      </c>
      <c r="C1364" t="s">
        <v>437</v>
      </c>
      <c r="D1364" t="s">
        <v>215</v>
      </c>
      <c r="E1364" t="s">
        <v>26</v>
      </c>
      <c r="F1364" t="s">
        <v>17</v>
      </c>
      <c r="G1364" t="str">
        <f>"02"</f>
        <v>02</v>
      </c>
      <c r="H1364" t="str">
        <f>"3  "</f>
        <v xml:space="preserve">3  </v>
      </c>
      <c r="I1364" t="str">
        <f>"2018/08/21"</f>
        <v>2018/08/21</v>
      </c>
      <c r="J1364" t="str">
        <f>"510"</f>
        <v>510</v>
      </c>
      <c r="K1364" t="str">
        <f>"20240829"</f>
        <v>20240829</v>
      </c>
      <c r="L1364" t="s">
        <v>18</v>
      </c>
      <c r="M1364" t="str">
        <f>"20170603"</f>
        <v>20170603</v>
      </c>
    </row>
    <row r="1365" spans="1:13" x14ac:dyDescent="0.25">
      <c r="A1365" t="str">
        <f>"00476799"</f>
        <v>00476799</v>
      </c>
      <c r="B1365" t="s">
        <v>3054</v>
      </c>
      <c r="C1365" t="s">
        <v>348</v>
      </c>
      <c r="D1365" t="s">
        <v>31</v>
      </c>
      <c r="E1365" t="s">
        <v>16</v>
      </c>
      <c r="F1365" t="s">
        <v>17</v>
      </c>
      <c r="G1365" t="str">
        <f>"02"</f>
        <v>02</v>
      </c>
      <c r="H1365" t="str">
        <f>"3  "</f>
        <v xml:space="preserve">3  </v>
      </c>
      <c r="I1365" t="str">
        <f>"2016/08/29"</f>
        <v>2016/08/29</v>
      </c>
      <c r="J1365" t="str">
        <f>"510"</f>
        <v>510</v>
      </c>
      <c r="K1365" t="str">
        <f>"20240824"</f>
        <v>20240824</v>
      </c>
      <c r="L1365" t="s">
        <v>18</v>
      </c>
      <c r="M1365" t="str">
        <f>"20150927"</f>
        <v>20150927</v>
      </c>
    </row>
    <row r="1366" spans="1:13" x14ac:dyDescent="0.25">
      <c r="A1366" t="str">
        <f>"00397879"</f>
        <v>00397879</v>
      </c>
      <c r="B1366" t="s">
        <v>3058</v>
      </c>
      <c r="C1366" t="s">
        <v>66</v>
      </c>
      <c r="D1366" t="s">
        <v>15</v>
      </c>
      <c r="E1366" t="s">
        <v>26</v>
      </c>
      <c r="F1366" t="s">
        <v>17</v>
      </c>
      <c r="G1366" t="str">
        <f>"02"</f>
        <v>02</v>
      </c>
      <c r="H1366" t="str">
        <f>"3  "</f>
        <v xml:space="preserve">3  </v>
      </c>
      <c r="I1366" t="str">
        <f>"2016/08/12"</f>
        <v>2016/08/12</v>
      </c>
      <c r="J1366" t="str">
        <f>"510"</f>
        <v>510</v>
      </c>
      <c r="K1366" t="str">
        <f>"20430426"</f>
        <v>20430426</v>
      </c>
      <c r="L1366" t="s">
        <v>18</v>
      </c>
      <c r="M1366" t="str">
        <f>"20150209"</f>
        <v>20150209</v>
      </c>
    </row>
    <row r="1367" spans="1:13" x14ac:dyDescent="0.25">
      <c r="A1367" t="str">
        <f>"00531068"</f>
        <v>00531068</v>
      </c>
      <c r="B1367" t="s">
        <v>3067</v>
      </c>
      <c r="C1367" t="s">
        <v>3068</v>
      </c>
      <c r="D1367" t="s">
        <v>215</v>
      </c>
      <c r="E1367" t="s">
        <v>26</v>
      </c>
      <c r="F1367" t="s">
        <v>17</v>
      </c>
      <c r="G1367" t="str">
        <f>"02"</f>
        <v>02</v>
      </c>
      <c r="H1367" t="str">
        <f>"3  "</f>
        <v xml:space="preserve">3  </v>
      </c>
      <c r="I1367" t="str">
        <f>"2020/02/04"</f>
        <v>2020/02/04</v>
      </c>
      <c r="J1367" t="str">
        <f>"510"</f>
        <v>510</v>
      </c>
      <c r="K1367" t="str">
        <f>"20360828"</f>
        <v>20360828</v>
      </c>
      <c r="L1367" t="s">
        <v>18</v>
      </c>
      <c r="M1367" t="str">
        <f>"20180902"</f>
        <v>20180902</v>
      </c>
    </row>
    <row r="1368" spans="1:13" x14ac:dyDescent="0.25">
      <c r="A1368" t="str">
        <f>"00738749"</f>
        <v>00738749</v>
      </c>
      <c r="B1368" t="s">
        <v>3074</v>
      </c>
      <c r="C1368" t="s">
        <v>3075</v>
      </c>
      <c r="D1368" t="s">
        <v>25</v>
      </c>
      <c r="E1368" t="s">
        <v>16</v>
      </c>
      <c r="F1368" t="s">
        <v>17</v>
      </c>
      <c r="G1368" t="str">
        <f>"02"</f>
        <v>02</v>
      </c>
      <c r="H1368" t="str">
        <f>"3  "</f>
        <v xml:space="preserve">3  </v>
      </c>
      <c r="I1368" t="str">
        <f>"2014/10/13"</f>
        <v>2014/10/13</v>
      </c>
      <c r="J1368" t="str">
        <f>"510"</f>
        <v>510</v>
      </c>
      <c r="K1368" t="str">
        <f>"20210703"</f>
        <v>20210703</v>
      </c>
      <c r="L1368" t="s">
        <v>18</v>
      </c>
      <c r="M1368" t="str">
        <f>"20130311"</f>
        <v>20130311</v>
      </c>
    </row>
    <row r="1369" spans="1:13" x14ac:dyDescent="0.25">
      <c r="A1369" t="str">
        <f>"00468255"</f>
        <v>00468255</v>
      </c>
      <c r="B1369" t="s">
        <v>3081</v>
      </c>
      <c r="C1369" t="s">
        <v>2430</v>
      </c>
      <c r="D1369" t="s">
        <v>37</v>
      </c>
      <c r="E1369" t="s">
        <v>26</v>
      </c>
      <c r="F1369" t="s">
        <v>17</v>
      </c>
      <c r="G1369" t="str">
        <f>"02"</f>
        <v>02</v>
      </c>
      <c r="H1369" t="str">
        <f>"3  "</f>
        <v xml:space="preserve">3  </v>
      </c>
      <c r="I1369" t="str">
        <f>"2010/02/05"</f>
        <v>2010/02/05</v>
      </c>
      <c r="J1369" t="str">
        <f>"510"</f>
        <v>510</v>
      </c>
      <c r="K1369" t="str">
        <f>"20290311"</f>
        <v>20290311</v>
      </c>
      <c r="L1369" t="s">
        <v>18</v>
      </c>
      <c r="M1369" t="str">
        <f>"20090109"</f>
        <v>20090109</v>
      </c>
    </row>
    <row r="1370" spans="1:13" x14ac:dyDescent="0.25">
      <c r="A1370" t="str">
        <f>"00198493"</f>
        <v>00198493</v>
      </c>
      <c r="B1370" t="s">
        <v>3082</v>
      </c>
      <c r="C1370" t="s">
        <v>3083</v>
      </c>
      <c r="D1370" t="s">
        <v>25</v>
      </c>
      <c r="E1370" t="s">
        <v>26</v>
      </c>
      <c r="F1370" t="s">
        <v>17</v>
      </c>
      <c r="G1370" t="str">
        <f>"02"</f>
        <v>02</v>
      </c>
      <c r="H1370" t="str">
        <f>"3  "</f>
        <v xml:space="preserve">3  </v>
      </c>
      <c r="I1370" t="str">
        <f>"2005/10/14"</f>
        <v>2005/10/14</v>
      </c>
      <c r="J1370" t="str">
        <f>"510"</f>
        <v>510</v>
      </c>
      <c r="K1370" t="str">
        <f>"20260131"</f>
        <v>20260131</v>
      </c>
      <c r="L1370" t="s">
        <v>18</v>
      </c>
      <c r="M1370" t="str">
        <f>"20050204"</f>
        <v>20050204</v>
      </c>
    </row>
    <row r="1371" spans="1:13" x14ac:dyDescent="0.25">
      <c r="A1371" t="str">
        <f>"00387701"</f>
        <v>00387701</v>
      </c>
      <c r="B1371" t="s">
        <v>3085</v>
      </c>
      <c r="C1371" t="s">
        <v>3086</v>
      </c>
      <c r="D1371" t="s">
        <v>25</v>
      </c>
      <c r="E1371" t="s">
        <v>16</v>
      </c>
      <c r="F1371" t="s">
        <v>17</v>
      </c>
      <c r="G1371" t="str">
        <f>"02"</f>
        <v>02</v>
      </c>
      <c r="H1371" t="str">
        <f>"3  "</f>
        <v xml:space="preserve">3  </v>
      </c>
      <c r="I1371" t="str">
        <f>"2014/10/13"</f>
        <v>2014/10/13</v>
      </c>
      <c r="J1371" t="str">
        <f>"510"</f>
        <v>510</v>
      </c>
      <c r="K1371" t="str">
        <f>"20370529"</f>
        <v>20370529</v>
      </c>
      <c r="L1371" t="s">
        <v>18</v>
      </c>
      <c r="M1371" t="str">
        <f>"20130611"</f>
        <v>20130611</v>
      </c>
    </row>
    <row r="1372" spans="1:13" x14ac:dyDescent="0.25">
      <c r="A1372" t="str">
        <f>"00176898"</f>
        <v>00176898</v>
      </c>
      <c r="B1372" t="s">
        <v>3087</v>
      </c>
      <c r="C1372" t="s">
        <v>3088</v>
      </c>
      <c r="D1372" t="s">
        <v>15</v>
      </c>
      <c r="E1372" t="s">
        <v>26</v>
      </c>
      <c r="F1372" t="s">
        <v>17</v>
      </c>
      <c r="G1372" t="str">
        <f>"02"</f>
        <v>02</v>
      </c>
      <c r="H1372" t="str">
        <f>"7  "</f>
        <v xml:space="preserve">7  </v>
      </c>
      <c r="I1372" t="str">
        <f>"2001/01/17"</f>
        <v>2001/01/17</v>
      </c>
      <c r="J1372" t="str">
        <f>"533"</f>
        <v>533</v>
      </c>
      <c r="K1372" t="s">
        <v>18</v>
      </c>
      <c r="L1372" t="s">
        <v>18</v>
      </c>
      <c r="M1372" t="str">
        <f>"19821102"</f>
        <v>19821102</v>
      </c>
    </row>
    <row r="1373" spans="1:13" x14ac:dyDescent="0.25">
      <c r="A1373" t="str">
        <f>"00596084"</f>
        <v>00596084</v>
      </c>
      <c r="B1373" t="s">
        <v>3089</v>
      </c>
      <c r="C1373" t="s">
        <v>72</v>
      </c>
      <c r="D1373" t="s">
        <v>25</v>
      </c>
      <c r="E1373" t="s">
        <v>26</v>
      </c>
      <c r="F1373" t="s">
        <v>17</v>
      </c>
      <c r="G1373" t="str">
        <f>"02"</f>
        <v>02</v>
      </c>
      <c r="H1373" t="str">
        <f>"7  "</f>
        <v xml:space="preserve">7  </v>
      </c>
      <c r="I1373" t="str">
        <f>"2010/09/27"</f>
        <v>2010/09/27</v>
      </c>
      <c r="J1373" t="str">
        <f>"110"</f>
        <v>110</v>
      </c>
      <c r="K1373" t="s">
        <v>18</v>
      </c>
      <c r="L1373" t="s">
        <v>18</v>
      </c>
      <c r="M1373" t="str">
        <f>"20100917"</f>
        <v>20100917</v>
      </c>
    </row>
    <row r="1374" spans="1:13" x14ac:dyDescent="0.25">
      <c r="A1374" t="str">
        <f>"00809190"</f>
        <v>00809190</v>
      </c>
      <c r="B1374" t="s">
        <v>3090</v>
      </c>
      <c r="C1374" t="s">
        <v>426</v>
      </c>
      <c r="D1374" t="s">
        <v>25</v>
      </c>
      <c r="E1374" t="s">
        <v>16</v>
      </c>
      <c r="F1374" t="s">
        <v>17</v>
      </c>
      <c r="G1374" t="str">
        <f>"02"</f>
        <v>02</v>
      </c>
      <c r="H1374" t="str">
        <f>"3  "</f>
        <v xml:space="preserve">3  </v>
      </c>
      <c r="I1374" t="str">
        <f>"2019/03/11"</f>
        <v>2019/03/11</v>
      </c>
      <c r="J1374" t="str">
        <f>"510"</f>
        <v>510</v>
      </c>
      <c r="K1374" t="str">
        <f>"20281210"</f>
        <v>20281210</v>
      </c>
      <c r="L1374" t="s">
        <v>18</v>
      </c>
      <c r="M1374" t="str">
        <f>"20150914"</f>
        <v>20150914</v>
      </c>
    </row>
    <row r="1375" spans="1:13" x14ac:dyDescent="0.25">
      <c r="A1375" t="str">
        <f>"00279664"</f>
        <v>00279664</v>
      </c>
      <c r="B1375" t="s">
        <v>3091</v>
      </c>
      <c r="C1375" t="s">
        <v>136</v>
      </c>
      <c r="D1375" t="s">
        <v>61</v>
      </c>
      <c r="E1375" t="s">
        <v>16</v>
      </c>
      <c r="F1375" t="s">
        <v>17</v>
      </c>
      <c r="G1375" t="str">
        <f>"02"</f>
        <v>02</v>
      </c>
      <c r="H1375" t="str">
        <f>"3  "</f>
        <v xml:space="preserve">3  </v>
      </c>
      <c r="I1375" t="str">
        <f>"2018/08/16"</f>
        <v>2018/08/16</v>
      </c>
      <c r="J1375" t="str">
        <f>"510"</f>
        <v>510</v>
      </c>
      <c r="K1375" t="str">
        <f>"20220722"</f>
        <v>20220722</v>
      </c>
      <c r="L1375" t="s">
        <v>18</v>
      </c>
      <c r="M1375" t="str">
        <f>"20170622"</f>
        <v>20170622</v>
      </c>
    </row>
    <row r="1376" spans="1:13" x14ac:dyDescent="0.25">
      <c r="A1376" t="str">
        <f>"00077120"</f>
        <v>00077120</v>
      </c>
      <c r="B1376" t="s">
        <v>3094</v>
      </c>
      <c r="C1376" t="s">
        <v>488</v>
      </c>
      <c r="D1376" t="s">
        <v>15</v>
      </c>
      <c r="E1376" t="s">
        <v>16</v>
      </c>
      <c r="F1376" t="s">
        <v>17</v>
      </c>
      <c r="G1376" t="str">
        <f>"02"</f>
        <v>02</v>
      </c>
      <c r="H1376" t="str">
        <f>"7  "</f>
        <v xml:space="preserve">7  </v>
      </c>
      <c r="I1376" t="str">
        <f>"1986/06/06"</f>
        <v>1986/06/06</v>
      </c>
      <c r="J1376" t="str">
        <f>"510"</f>
        <v>510</v>
      </c>
      <c r="K1376" t="s">
        <v>18</v>
      </c>
      <c r="L1376" t="s">
        <v>18</v>
      </c>
      <c r="M1376" t="str">
        <f>"19760623"</f>
        <v>19760623</v>
      </c>
    </row>
    <row r="1377" spans="1:13" x14ac:dyDescent="0.25">
      <c r="A1377" t="str">
        <f>"00645501"</f>
        <v>00645501</v>
      </c>
      <c r="B1377" t="s">
        <v>3097</v>
      </c>
      <c r="C1377" t="s">
        <v>509</v>
      </c>
      <c r="D1377" t="s">
        <v>25</v>
      </c>
      <c r="E1377" t="s">
        <v>26</v>
      </c>
      <c r="F1377" t="s">
        <v>17</v>
      </c>
      <c r="G1377" t="str">
        <f>"02"</f>
        <v>02</v>
      </c>
      <c r="H1377" t="str">
        <f>"3  "</f>
        <v xml:space="preserve">3  </v>
      </c>
      <c r="I1377" t="str">
        <f>"2020/08/05"</f>
        <v>2020/08/05</v>
      </c>
      <c r="J1377" t="str">
        <f>"533"</f>
        <v>533</v>
      </c>
      <c r="K1377" t="str">
        <f>"20250620"</f>
        <v>20250620</v>
      </c>
      <c r="L1377" t="s">
        <v>18</v>
      </c>
      <c r="M1377" t="str">
        <f>"20120912"</f>
        <v>20120912</v>
      </c>
    </row>
    <row r="1378" spans="1:13" x14ac:dyDescent="0.25">
      <c r="A1378" t="str">
        <f>"00614479"</f>
        <v>00614479</v>
      </c>
      <c r="B1378" t="s">
        <v>3097</v>
      </c>
      <c r="C1378" t="s">
        <v>3098</v>
      </c>
      <c r="D1378" t="s">
        <v>25</v>
      </c>
      <c r="E1378" t="s">
        <v>26</v>
      </c>
      <c r="F1378" t="s">
        <v>17</v>
      </c>
      <c r="G1378" t="str">
        <f>"02"</f>
        <v>02</v>
      </c>
      <c r="H1378" t="str">
        <f>"3  "</f>
        <v xml:space="preserve">3  </v>
      </c>
      <c r="I1378" t="str">
        <f>"2018/10/18"</f>
        <v>2018/10/18</v>
      </c>
      <c r="J1378" t="str">
        <f>"510"</f>
        <v>510</v>
      </c>
      <c r="K1378" t="str">
        <f>"20221011"</f>
        <v>20221011</v>
      </c>
      <c r="L1378" t="s">
        <v>18</v>
      </c>
      <c r="M1378" t="str">
        <f>"20180329"</f>
        <v>20180329</v>
      </c>
    </row>
    <row r="1379" spans="1:13" x14ac:dyDescent="0.25">
      <c r="A1379" t="str">
        <f>"00241859"</f>
        <v>00241859</v>
      </c>
      <c r="B1379" t="s">
        <v>3100</v>
      </c>
      <c r="C1379" t="s">
        <v>62</v>
      </c>
      <c r="D1379" t="s">
        <v>15</v>
      </c>
      <c r="E1379" t="s">
        <v>26</v>
      </c>
      <c r="F1379" t="s">
        <v>17</v>
      </c>
      <c r="G1379" t="str">
        <f>"02"</f>
        <v>02</v>
      </c>
      <c r="H1379" t="str">
        <f>"3  "</f>
        <v xml:space="preserve">3  </v>
      </c>
      <c r="I1379" t="str">
        <f>"2019/01/17"</f>
        <v>2019/01/17</v>
      </c>
      <c r="J1379" t="str">
        <f>"533"</f>
        <v>533</v>
      </c>
      <c r="K1379" t="str">
        <f>"20451007"</f>
        <v>20451007</v>
      </c>
      <c r="L1379" t="s">
        <v>18</v>
      </c>
      <c r="M1379" t="str">
        <f>"20070430"</f>
        <v>20070430</v>
      </c>
    </row>
    <row r="1380" spans="1:13" x14ac:dyDescent="0.25">
      <c r="A1380" t="str">
        <f>"00207905"</f>
        <v>00207905</v>
      </c>
      <c r="B1380" t="s">
        <v>3104</v>
      </c>
      <c r="C1380" t="s">
        <v>1062</v>
      </c>
      <c r="D1380" t="s">
        <v>40</v>
      </c>
      <c r="E1380" t="s">
        <v>26</v>
      </c>
      <c r="F1380" t="s">
        <v>17</v>
      </c>
      <c r="G1380" t="str">
        <f>"02"</f>
        <v>02</v>
      </c>
      <c r="H1380" t="str">
        <f>"7  "</f>
        <v xml:space="preserve">7  </v>
      </c>
      <c r="I1380" t="str">
        <f>"1990/01/03"</f>
        <v>1990/01/03</v>
      </c>
      <c r="J1380" t="str">
        <f>"114"</f>
        <v>114</v>
      </c>
      <c r="K1380" t="s">
        <v>18</v>
      </c>
      <c r="L1380" t="str">
        <f>"20680831"</f>
        <v>20680831</v>
      </c>
      <c r="M1380" t="str">
        <f>"19880901"</f>
        <v>19880901</v>
      </c>
    </row>
    <row r="1381" spans="1:13" x14ac:dyDescent="0.25">
      <c r="A1381" t="str">
        <f>"00318410"</f>
        <v>00318410</v>
      </c>
      <c r="B1381" t="s">
        <v>3106</v>
      </c>
      <c r="C1381" t="s">
        <v>938</v>
      </c>
      <c r="D1381" t="s">
        <v>26</v>
      </c>
      <c r="E1381" t="s">
        <v>26</v>
      </c>
      <c r="F1381" t="s">
        <v>17</v>
      </c>
      <c r="G1381" t="str">
        <f>"02"</f>
        <v>02</v>
      </c>
      <c r="H1381" t="str">
        <f>"3  "</f>
        <v xml:space="preserve">3  </v>
      </c>
      <c r="I1381" t="str">
        <f>"2002/01/18"</f>
        <v>2002/01/18</v>
      </c>
      <c r="J1381" t="str">
        <f>"503"</f>
        <v>503</v>
      </c>
      <c r="K1381" t="str">
        <f>"20450517"</f>
        <v>20450517</v>
      </c>
      <c r="L1381" t="s">
        <v>18</v>
      </c>
      <c r="M1381" t="str">
        <f>"20010129"</f>
        <v>20010129</v>
      </c>
    </row>
    <row r="1382" spans="1:13" x14ac:dyDescent="0.25">
      <c r="A1382" t="str">
        <f>"00480004"</f>
        <v>00480004</v>
      </c>
      <c r="B1382" t="s">
        <v>3106</v>
      </c>
      <c r="C1382" t="s">
        <v>471</v>
      </c>
      <c r="D1382" t="s">
        <v>25</v>
      </c>
      <c r="E1382" t="s">
        <v>26</v>
      </c>
      <c r="F1382" t="s">
        <v>17</v>
      </c>
      <c r="G1382" t="str">
        <f>"02"</f>
        <v>02</v>
      </c>
      <c r="H1382" t="str">
        <f>"3  "</f>
        <v xml:space="preserve">3  </v>
      </c>
      <c r="I1382" t="str">
        <f>"2020/03/20"</f>
        <v>2020/03/20</v>
      </c>
      <c r="J1382" t="str">
        <f>"503"</f>
        <v>503</v>
      </c>
      <c r="K1382" t="str">
        <f>"20370119"</f>
        <v>20370119</v>
      </c>
      <c r="L1382" t="s">
        <v>18</v>
      </c>
      <c r="M1382" t="str">
        <f>"20181230"</f>
        <v>20181230</v>
      </c>
    </row>
    <row r="1383" spans="1:13" x14ac:dyDescent="0.25">
      <c r="A1383" t="str">
        <f>"00320813"</f>
        <v>00320813</v>
      </c>
      <c r="B1383" t="s">
        <v>3106</v>
      </c>
      <c r="C1383" t="s">
        <v>1829</v>
      </c>
      <c r="D1383" t="s">
        <v>25</v>
      </c>
      <c r="E1383" t="s">
        <v>26</v>
      </c>
      <c r="F1383" t="s">
        <v>17</v>
      </c>
      <c r="G1383" t="str">
        <f>"02"</f>
        <v>02</v>
      </c>
      <c r="H1383" t="str">
        <f>"7  "</f>
        <v xml:space="preserve">7  </v>
      </c>
      <c r="I1383" t="str">
        <f>"2001/10/24"</f>
        <v>2001/10/24</v>
      </c>
      <c r="J1383" t="str">
        <f>"503"</f>
        <v>503</v>
      </c>
      <c r="K1383" t="s">
        <v>18</v>
      </c>
      <c r="L1383" t="s">
        <v>18</v>
      </c>
      <c r="M1383" t="str">
        <f>"19991124"</f>
        <v>19991124</v>
      </c>
    </row>
    <row r="1384" spans="1:13" x14ac:dyDescent="0.25">
      <c r="A1384" t="str">
        <f>"00640476"</f>
        <v>00640476</v>
      </c>
      <c r="B1384" t="s">
        <v>3110</v>
      </c>
      <c r="C1384" t="s">
        <v>3111</v>
      </c>
      <c r="D1384" t="s">
        <v>31</v>
      </c>
      <c r="E1384" t="s">
        <v>26</v>
      </c>
      <c r="F1384" t="s">
        <v>17</v>
      </c>
      <c r="G1384" t="str">
        <f>"02"</f>
        <v>02</v>
      </c>
      <c r="H1384" t="str">
        <f>"3  "</f>
        <v xml:space="preserve">3  </v>
      </c>
      <c r="I1384" t="str">
        <f>"2019/10/25"</f>
        <v>2019/10/25</v>
      </c>
      <c r="J1384" t="str">
        <f>"510"</f>
        <v>510</v>
      </c>
      <c r="K1384" t="str">
        <f>"20420503"</f>
        <v>20420503</v>
      </c>
      <c r="L1384" t="s">
        <v>18</v>
      </c>
      <c r="M1384" t="str">
        <f>"20170207"</f>
        <v>20170207</v>
      </c>
    </row>
    <row r="1385" spans="1:13" x14ac:dyDescent="0.25">
      <c r="A1385" t="str">
        <f>"00588415"</f>
        <v>00588415</v>
      </c>
      <c r="B1385" t="s">
        <v>3116</v>
      </c>
      <c r="C1385" t="s">
        <v>99</v>
      </c>
      <c r="D1385" t="s">
        <v>51</v>
      </c>
      <c r="E1385" t="s">
        <v>26</v>
      </c>
      <c r="F1385" t="s">
        <v>17</v>
      </c>
      <c r="G1385" t="str">
        <f>"02"</f>
        <v>02</v>
      </c>
      <c r="H1385" t="str">
        <f>"3  "</f>
        <v xml:space="preserve">3  </v>
      </c>
      <c r="I1385" t="str">
        <f>"2020/01/31"</f>
        <v>2020/01/31</v>
      </c>
      <c r="J1385" t="str">
        <f>"533"</f>
        <v>533</v>
      </c>
      <c r="K1385" t="str">
        <f>"20290221"</f>
        <v>20290221</v>
      </c>
      <c r="L1385" t="s">
        <v>18</v>
      </c>
      <c r="M1385" t="str">
        <f>"20160913"</f>
        <v>20160913</v>
      </c>
    </row>
    <row r="1386" spans="1:13" x14ac:dyDescent="0.25">
      <c r="A1386" t="str">
        <f>"00803564"</f>
        <v>00803564</v>
      </c>
      <c r="B1386" t="s">
        <v>3116</v>
      </c>
      <c r="C1386" t="s">
        <v>3117</v>
      </c>
      <c r="D1386" t="s">
        <v>25</v>
      </c>
      <c r="E1386" t="s">
        <v>26</v>
      </c>
      <c r="F1386" t="s">
        <v>17</v>
      </c>
      <c r="G1386" t="str">
        <f>"02"</f>
        <v>02</v>
      </c>
      <c r="H1386" t="str">
        <f>"3  "</f>
        <v xml:space="preserve">3  </v>
      </c>
      <c r="I1386" t="str">
        <f>"2018/08/28"</f>
        <v>2018/08/28</v>
      </c>
      <c r="J1386" t="str">
        <f>"503"</f>
        <v>503</v>
      </c>
      <c r="K1386" t="str">
        <f>"20250102"</f>
        <v>20250102</v>
      </c>
      <c r="L1386" t="s">
        <v>18</v>
      </c>
      <c r="M1386" t="str">
        <f>"20111102"</f>
        <v>20111102</v>
      </c>
    </row>
    <row r="1387" spans="1:13" x14ac:dyDescent="0.25">
      <c r="A1387" t="str">
        <f>"00524643"</f>
        <v>00524643</v>
      </c>
      <c r="B1387" t="s">
        <v>3122</v>
      </c>
      <c r="C1387" t="s">
        <v>3123</v>
      </c>
      <c r="D1387" t="s">
        <v>25</v>
      </c>
      <c r="E1387" t="s">
        <v>26</v>
      </c>
      <c r="F1387" t="s">
        <v>17</v>
      </c>
      <c r="G1387" t="str">
        <f>"02"</f>
        <v>02</v>
      </c>
      <c r="H1387" t="str">
        <f>"3  "</f>
        <v xml:space="preserve">3  </v>
      </c>
      <c r="I1387" t="str">
        <f>"2014/11/26"</f>
        <v>2014/11/26</v>
      </c>
      <c r="J1387" t="str">
        <f>"110"</f>
        <v>110</v>
      </c>
      <c r="K1387" t="str">
        <f>"20230408"</f>
        <v>20230408</v>
      </c>
      <c r="L1387" t="s">
        <v>18</v>
      </c>
      <c r="M1387" t="str">
        <f>"20140611"</f>
        <v>20140611</v>
      </c>
    </row>
    <row r="1388" spans="1:13" x14ac:dyDescent="0.25">
      <c r="A1388" t="str">
        <f>"00651488"</f>
        <v>00651488</v>
      </c>
      <c r="B1388" t="s">
        <v>3126</v>
      </c>
      <c r="C1388" t="s">
        <v>36</v>
      </c>
      <c r="D1388" t="s">
        <v>37</v>
      </c>
      <c r="E1388" t="s">
        <v>16</v>
      </c>
      <c r="F1388" t="s">
        <v>17</v>
      </c>
      <c r="G1388" t="str">
        <f>"02"</f>
        <v>02</v>
      </c>
      <c r="H1388" t="str">
        <f>"3  "</f>
        <v xml:space="preserve">3  </v>
      </c>
      <c r="I1388" t="str">
        <f>"2015/01/15"</f>
        <v>2015/01/15</v>
      </c>
      <c r="J1388" t="str">
        <f>"110"</f>
        <v>110</v>
      </c>
      <c r="K1388" t="str">
        <f>"20370417"</f>
        <v>20370417</v>
      </c>
      <c r="L1388" t="s">
        <v>18</v>
      </c>
      <c r="M1388" t="str">
        <f>"20100223"</f>
        <v>20100223</v>
      </c>
    </row>
    <row r="1389" spans="1:13" x14ac:dyDescent="0.25">
      <c r="A1389" t="str">
        <f>"00275145"</f>
        <v>00275145</v>
      </c>
      <c r="B1389" t="s">
        <v>3127</v>
      </c>
      <c r="C1389" t="s">
        <v>346</v>
      </c>
      <c r="D1389" t="s">
        <v>45</v>
      </c>
      <c r="E1389" t="s">
        <v>16</v>
      </c>
      <c r="F1389" t="s">
        <v>17</v>
      </c>
      <c r="G1389" t="str">
        <f>"02"</f>
        <v>02</v>
      </c>
      <c r="H1389" t="str">
        <f>"7  "</f>
        <v xml:space="preserve">7  </v>
      </c>
      <c r="I1389" t="str">
        <f>"2017/01/19"</f>
        <v>2017/01/19</v>
      </c>
      <c r="J1389" t="str">
        <f>"130"</f>
        <v>130</v>
      </c>
      <c r="K1389" t="s">
        <v>18</v>
      </c>
      <c r="L1389" t="s">
        <v>18</v>
      </c>
      <c r="M1389" t="str">
        <f>"19970323"</f>
        <v>19970323</v>
      </c>
    </row>
    <row r="1390" spans="1:13" x14ac:dyDescent="0.25">
      <c r="A1390" t="str">
        <f>"00191748"</f>
        <v>00191748</v>
      </c>
      <c r="B1390" t="s">
        <v>3132</v>
      </c>
      <c r="C1390" t="s">
        <v>74</v>
      </c>
      <c r="D1390" t="s">
        <v>15</v>
      </c>
      <c r="E1390" t="s">
        <v>26</v>
      </c>
      <c r="F1390" t="s">
        <v>17</v>
      </c>
      <c r="G1390" t="str">
        <f>"02"</f>
        <v>02</v>
      </c>
      <c r="H1390" t="str">
        <f>"3  "</f>
        <v xml:space="preserve">3  </v>
      </c>
      <c r="I1390" t="str">
        <f>"2008/08/01"</f>
        <v>2008/08/01</v>
      </c>
      <c r="J1390" t="str">
        <f>"510"</f>
        <v>510</v>
      </c>
      <c r="K1390" t="str">
        <f>"20220216"</f>
        <v>20220216</v>
      </c>
      <c r="L1390" t="s">
        <v>18</v>
      </c>
      <c r="M1390" t="str">
        <f>"20061129"</f>
        <v>20061129</v>
      </c>
    </row>
    <row r="1391" spans="1:13" x14ac:dyDescent="0.25">
      <c r="A1391" t="str">
        <f>"00801524"</f>
        <v>00801524</v>
      </c>
      <c r="B1391" t="s">
        <v>3139</v>
      </c>
      <c r="C1391" t="s">
        <v>122</v>
      </c>
      <c r="D1391" t="s">
        <v>25</v>
      </c>
      <c r="E1391" t="s">
        <v>16</v>
      </c>
      <c r="F1391" t="s">
        <v>17</v>
      </c>
      <c r="G1391" t="str">
        <f>"02"</f>
        <v>02</v>
      </c>
      <c r="H1391" t="str">
        <f>"7  "</f>
        <v xml:space="preserve">7  </v>
      </c>
      <c r="I1391" t="str">
        <f>"2017/05/16"</f>
        <v>2017/05/16</v>
      </c>
      <c r="J1391" t="str">
        <f>"510"</f>
        <v>510</v>
      </c>
      <c r="K1391" t="s">
        <v>18</v>
      </c>
      <c r="L1391" t="s">
        <v>18</v>
      </c>
      <c r="M1391" t="str">
        <f>"20150831"</f>
        <v>20150831</v>
      </c>
    </row>
    <row r="1392" spans="1:13" x14ac:dyDescent="0.25">
      <c r="A1392" t="str">
        <f>"00809397"</f>
        <v>00809397</v>
      </c>
      <c r="B1392" t="s">
        <v>3142</v>
      </c>
      <c r="C1392" t="s">
        <v>44</v>
      </c>
      <c r="D1392" t="s">
        <v>51</v>
      </c>
      <c r="E1392" t="s">
        <v>26</v>
      </c>
      <c r="F1392" t="s">
        <v>17</v>
      </c>
      <c r="G1392" t="str">
        <f>"02"</f>
        <v>02</v>
      </c>
      <c r="H1392" t="str">
        <f>"3  "</f>
        <v xml:space="preserve">3  </v>
      </c>
      <c r="I1392" t="str">
        <f>"2017/08/16"</f>
        <v>2017/08/16</v>
      </c>
      <c r="J1392" t="str">
        <f>"510"</f>
        <v>510</v>
      </c>
      <c r="K1392" t="str">
        <f>"20241213"</f>
        <v>20241213</v>
      </c>
      <c r="L1392" t="s">
        <v>18</v>
      </c>
      <c r="M1392" t="str">
        <f>"20151218"</f>
        <v>20151218</v>
      </c>
    </row>
    <row r="1393" spans="1:13" x14ac:dyDescent="0.25">
      <c r="A1393" t="str">
        <f>"00264699"</f>
        <v>00264699</v>
      </c>
      <c r="B1393" t="s">
        <v>3142</v>
      </c>
      <c r="C1393" t="s">
        <v>536</v>
      </c>
      <c r="D1393" t="s">
        <v>25</v>
      </c>
      <c r="E1393" t="s">
        <v>26</v>
      </c>
      <c r="F1393" t="s">
        <v>17</v>
      </c>
      <c r="G1393" t="str">
        <f>"02"</f>
        <v>02</v>
      </c>
      <c r="H1393" t="str">
        <f>"7  "</f>
        <v xml:space="preserve">7  </v>
      </c>
      <c r="I1393" t="str">
        <f>"2007/05/11"</f>
        <v>2007/05/11</v>
      </c>
      <c r="J1393" t="str">
        <f>"510"</f>
        <v>510</v>
      </c>
      <c r="K1393" t="s">
        <v>18</v>
      </c>
      <c r="L1393" t="s">
        <v>18</v>
      </c>
      <c r="M1393" t="str">
        <f>"20051110"</f>
        <v>20051110</v>
      </c>
    </row>
    <row r="1394" spans="1:13" x14ac:dyDescent="0.25">
      <c r="A1394" t="str">
        <f>"00335437"</f>
        <v>00335437</v>
      </c>
      <c r="B1394" t="s">
        <v>3142</v>
      </c>
      <c r="C1394" t="s">
        <v>3143</v>
      </c>
      <c r="D1394" t="s">
        <v>40</v>
      </c>
      <c r="E1394" t="s">
        <v>26</v>
      </c>
      <c r="F1394" t="s">
        <v>17</v>
      </c>
      <c r="G1394" t="str">
        <f>"02"</f>
        <v>02</v>
      </c>
      <c r="H1394" t="str">
        <f>"3  "</f>
        <v xml:space="preserve">3  </v>
      </c>
      <c r="I1394" t="str">
        <f>"2004/11/08"</f>
        <v>2004/11/08</v>
      </c>
      <c r="J1394" t="str">
        <f>"510"</f>
        <v>510</v>
      </c>
      <c r="K1394" t="str">
        <f>"20240928"</f>
        <v>20240928</v>
      </c>
      <c r="L1394" t="s">
        <v>18</v>
      </c>
      <c r="M1394" t="str">
        <f>"20040528"</f>
        <v>20040528</v>
      </c>
    </row>
    <row r="1395" spans="1:13" x14ac:dyDescent="0.25">
      <c r="A1395" t="str">
        <f>"00461451"</f>
        <v>00461451</v>
      </c>
      <c r="B1395" t="s">
        <v>3142</v>
      </c>
      <c r="C1395" t="s">
        <v>3144</v>
      </c>
      <c r="D1395" t="s">
        <v>15</v>
      </c>
      <c r="E1395" t="s">
        <v>26</v>
      </c>
      <c r="F1395" t="s">
        <v>17</v>
      </c>
      <c r="G1395" t="str">
        <f>"02"</f>
        <v>02</v>
      </c>
      <c r="H1395" t="str">
        <f>"3  "</f>
        <v xml:space="preserve">3  </v>
      </c>
      <c r="I1395" t="str">
        <f>"2018/11/02"</f>
        <v>2018/11/02</v>
      </c>
      <c r="J1395" t="str">
        <f>"510"</f>
        <v>510</v>
      </c>
      <c r="K1395" t="str">
        <f>"20310527"</f>
        <v>20310527</v>
      </c>
      <c r="L1395" t="s">
        <v>18</v>
      </c>
      <c r="M1395" t="str">
        <f>"20180111"</f>
        <v>20180111</v>
      </c>
    </row>
    <row r="1396" spans="1:13" x14ac:dyDescent="0.25">
      <c r="A1396" t="str">
        <f>"00171231"</f>
        <v>00171231</v>
      </c>
      <c r="B1396" t="s">
        <v>3142</v>
      </c>
      <c r="C1396" t="s">
        <v>74</v>
      </c>
      <c r="D1396" t="s">
        <v>45</v>
      </c>
      <c r="E1396" t="s">
        <v>26</v>
      </c>
      <c r="F1396" t="s">
        <v>17</v>
      </c>
      <c r="G1396" t="str">
        <f>"02"</f>
        <v>02</v>
      </c>
      <c r="H1396" t="str">
        <f>"3  "</f>
        <v xml:space="preserve">3  </v>
      </c>
      <c r="I1396" t="str">
        <f>"2013/09/13"</f>
        <v>2013/09/13</v>
      </c>
      <c r="J1396" t="str">
        <f>"510"</f>
        <v>510</v>
      </c>
      <c r="K1396" t="str">
        <f>"20230625"</f>
        <v>20230625</v>
      </c>
      <c r="L1396" t="s">
        <v>18</v>
      </c>
      <c r="M1396" t="str">
        <f>"20130322"</f>
        <v>20130322</v>
      </c>
    </row>
    <row r="1397" spans="1:13" x14ac:dyDescent="0.25">
      <c r="A1397" t="str">
        <f>"00106985"</f>
        <v>00106985</v>
      </c>
      <c r="B1397" t="s">
        <v>3142</v>
      </c>
      <c r="C1397" t="s">
        <v>658</v>
      </c>
      <c r="D1397" t="s">
        <v>51</v>
      </c>
      <c r="E1397" t="s">
        <v>16</v>
      </c>
      <c r="F1397" t="s">
        <v>17</v>
      </c>
      <c r="G1397" t="str">
        <f>"02"</f>
        <v>02</v>
      </c>
      <c r="H1397" t="str">
        <f>"7  "</f>
        <v xml:space="preserve">7  </v>
      </c>
      <c r="I1397" t="str">
        <f>"1975/11/07"</f>
        <v>1975/11/07</v>
      </c>
      <c r="J1397" t="str">
        <f>"114"</f>
        <v>114</v>
      </c>
      <c r="K1397" t="s">
        <v>18</v>
      </c>
      <c r="L1397" t="s">
        <v>18</v>
      </c>
      <c r="M1397" t="str">
        <f>"19751014"</f>
        <v>19751014</v>
      </c>
    </row>
    <row r="1398" spans="1:13" x14ac:dyDescent="0.25">
      <c r="A1398" t="str">
        <f>"00229300"</f>
        <v>00229300</v>
      </c>
      <c r="B1398" t="s">
        <v>3146</v>
      </c>
      <c r="C1398" t="s">
        <v>308</v>
      </c>
      <c r="D1398" t="s">
        <v>456</v>
      </c>
      <c r="E1398" t="s">
        <v>16</v>
      </c>
      <c r="F1398" t="s">
        <v>17</v>
      </c>
      <c r="G1398" t="str">
        <f>"02"</f>
        <v>02</v>
      </c>
      <c r="H1398" t="str">
        <f>"3  "</f>
        <v xml:space="preserve">3  </v>
      </c>
      <c r="I1398" t="str">
        <f>"2012/11/23"</f>
        <v>2012/11/23</v>
      </c>
      <c r="J1398" t="str">
        <f>"110"</f>
        <v>110</v>
      </c>
      <c r="K1398" t="str">
        <f>"20270112"</f>
        <v>20270112</v>
      </c>
      <c r="L1398" t="s">
        <v>18</v>
      </c>
      <c r="M1398" t="str">
        <f>"20110806"</f>
        <v>20110806</v>
      </c>
    </row>
    <row r="1399" spans="1:13" x14ac:dyDescent="0.25">
      <c r="A1399" t="str">
        <f>"00610577"</f>
        <v>00610577</v>
      </c>
      <c r="B1399" t="s">
        <v>3146</v>
      </c>
      <c r="C1399" t="s">
        <v>552</v>
      </c>
      <c r="D1399" t="s">
        <v>25</v>
      </c>
      <c r="E1399" t="s">
        <v>26</v>
      </c>
      <c r="F1399" t="s">
        <v>17</v>
      </c>
      <c r="G1399" t="str">
        <f>"02"</f>
        <v>02</v>
      </c>
      <c r="H1399" t="str">
        <f>"3  "</f>
        <v xml:space="preserve">3  </v>
      </c>
      <c r="I1399" t="str">
        <f>"2019/07/26"</f>
        <v>2019/07/26</v>
      </c>
      <c r="J1399" t="str">
        <f>"510"</f>
        <v>510</v>
      </c>
      <c r="K1399" t="str">
        <f>"20250602"</f>
        <v>20250602</v>
      </c>
      <c r="L1399" t="s">
        <v>18</v>
      </c>
      <c r="M1399" t="str">
        <f>"20120828"</f>
        <v>20120828</v>
      </c>
    </row>
    <row r="1400" spans="1:13" x14ac:dyDescent="0.25">
      <c r="A1400" t="str">
        <f>"00137662"</f>
        <v>00137662</v>
      </c>
      <c r="B1400" t="s">
        <v>3147</v>
      </c>
      <c r="C1400" t="s">
        <v>446</v>
      </c>
      <c r="D1400" t="s">
        <v>51</v>
      </c>
      <c r="E1400" t="s">
        <v>26</v>
      </c>
      <c r="F1400" t="s">
        <v>17</v>
      </c>
      <c r="G1400" t="str">
        <f>"02"</f>
        <v>02</v>
      </c>
      <c r="H1400" t="str">
        <f>"7  "</f>
        <v xml:space="preserve">7  </v>
      </c>
      <c r="I1400" t="str">
        <f>"1991/06/04"</f>
        <v>1991/06/04</v>
      </c>
      <c r="J1400" t="str">
        <f>"503"</f>
        <v>503</v>
      </c>
      <c r="K1400" t="s">
        <v>18</v>
      </c>
      <c r="L1400" t="str">
        <f>"20090101"</f>
        <v>20090101</v>
      </c>
      <c r="M1400" t="str">
        <f>"19831220"</f>
        <v>19831220</v>
      </c>
    </row>
    <row r="1401" spans="1:13" x14ac:dyDescent="0.25">
      <c r="A1401" t="str">
        <f>"00651405"</f>
        <v>00651405</v>
      </c>
      <c r="B1401" t="s">
        <v>3147</v>
      </c>
      <c r="C1401" t="s">
        <v>3148</v>
      </c>
      <c r="D1401" t="s">
        <v>40</v>
      </c>
      <c r="E1401" t="s">
        <v>26</v>
      </c>
      <c r="F1401" t="s">
        <v>17</v>
      </c>
      <c r="G1401" t="str">
        <f>"02"</f>
        <v>02</v>
      </c>
      <c r="H1401" t="str">
        <f>"3  "</f>
        <v xml:space="preserve">3  </v>
      </c>
      <c r="I1401" t="str">
        <f>"2019/08/16"</f>
        <v>2019/08/16</v>
      </c>
      <c r="J1401" t="str">
        <f>"503"</f>
        <v>503</v>
      </c>
      <c r="K1401" t="str">
        <f>"20390518"</f>
        <v>20390518</v>
      </c>
      <c r="L1401" t="s">
        <v>18</v>
      </c>
      <c r="M1401" t="str">
        <f>"20180723"</f>
        <v>20180723</v>
      </c>
    </row>
    <row r="1402" spans="1:13" x14ac:dyDescent="0.25">
      <c r="A1402" t="str">
        <f>"00383388"</f>
        <v>00383388</v>
      </c>
      <c r="B1402" t="s">
        <v>3152</v>
      </c>
      <c r="C1402" t="s">
        <v>1314</v>
      </c>
      <c r="D1402" t="s">
        <v>80</v>
      </c>
      <c r="E1402" t="s">
        <v>26</v>
      </c>
      <c r="F1402" t="s">
        <v>17</v>
      </c>
      <c r="G1402" t="str">
        <f>"02"</f>
        <v>02</v>
      </c>
      <c r="H1402" t="str">
        <f>"3  "</f>
        <v xml:space="preserve">3  </v>
      </c>
      <c r="I1402" t="str">
        <f>"2007/07/30"</f>
        <v>2007/07/30</v>
      </c>
      <c r="J1402" t="str">
        <f>"110"</f>
        <v>110</v>
      </c>
      <c r="K1402" t="str">
        <f>"20240110"</f>
        <v>20240110</v>
      </c>
      <c r="L1402" t="s">
        <v>18</v>
      </c>
      <c r="M1402" t="str">
        <f>"20060810"</f>
        <v>20060810</v>
      </c>
    </row>
    <row r="1403" spans="1:13" x14ac:dyDescent="0.25">
      <c r="A1403" t="str">
        <f>"00735707"</f>
        <v>00735707</v>
      </c>
      <c r="B1403" t="s">
        <v>3157</v>
      </c>
      <c r="C1403" t="s">
        <v>336</v>
      </c>
      <c r="D1403" t="s">
        <v>26</v>
      </c>
      <c r="E1403" t="s">
        <v>16</v>
      </c>
      <c r="F1403" t="s">
        <v>17</v>
      </c>
      <c r="G1403" t="str">
        <f>"02"</f>
        <v>02</v>
      </c>
      <c r="H1403" t="str">
        <f>"3  "</f>
        <v xml:space="preserve">3  </v>
      </c>
      <c r="I1403" t="str">
        <f>"2019/05/30"</f>
        <v>2019/05/30</v>
      </c>
      <c r="J1403" t="str">
        <f>"533"</f>
        <v>533</v>
      </c>
      <c r="K1403" t="str">
        <f>"20301228"</f>
        <v>20301228</v>
      </c>
      <c r="L1403" t="s">
        <v>18</v>
      </c>
      <c r="M1403" t="str">
        <f>"20141117"</f>
        <v>20141117</v>
      </c>
    </row>
    <row r="1404" spans="1:13" x14ac:dyDescent="0.25">
      <c r="A1404" t="str">
        <f>"00715970"</f>
        <v>00715970</v>
      </c>
      <c r="B1404" t="s">
        <v>3159</v>
      </c>
      <c r="C1404" t="s">
        <v>74</v>
      </c>
      <c r="D1404" t="s">
        <v>80</v>
      </c>
      <c r="E1404" t="s">
        <v>16</v>
      </c>
      <c r="F1404" t="s">
        <v>17</v>
      </c>
      <c r="G1404" t="str">
        <f>"02"</f>
        <v>02</v>
      </c>
      <c r="H1404" t="str">
        <f>"3  "</f>
        <v xml:space="preserve">3  </v>
      </c>
      <c r="I1404" t="str">
        <f>"2012/12/28"</f>
        <v>2012/12/28</v>
      </c>
      <c r="J1404" t="str">
        <f>"503"</f>
        <v>503</v>
      </c>
      <c r="K1404" t="str">
        <f>"20210218"</f>
        <v>20210218</v>
      </c>
      <c r="L1404" t="s">
        <v>18</v>
      </c>
      <c r="M1404" t="str">
        <f>"20120416"</f>
        <v>20120416</v>
      </c>
    </row>
    <row r="1405" spans="1:13" x14ac:dyDescent="0.25">
      <c r="A1405" t="str">
        <f>"00244526"</f>
        <v>00244526</v>
      </c>
      <c r="B1405" t="s">
        <v>3162</v>
      </c>
      <c r="C1405" t="s">
        <v>118</v>
      </c>
      <c r="D1405" t="s">
        <v>51</v>
      </c>
      <c r="E1405" t="s">
        <v>26</v>
      </c>
      <c r="F1405" t="s">
        <v>17</v>
      </c>
      <c r="G1405" t="str">
        <f>"02"</f>
        <v>02</v>
      </c>
      <c r="H1405" t="str">
        <f>"3  "</f>
        <v xml:space="preserve">3  </v>
      </c>
      <c r="I1405" t="str">
        <f>"2018/11/02"</f>
        <v>2018/11/02</v>
      </c>
      <c r="J1405" t="str">
        <f>"503"</f>
        <v>503</v>
      </c>
      <c r="K1405" t="str">
        <f>"20320423"</f>
        <v>20320423</v>
      </c>
      <c r="L1405" t="s">
        <v>18</v>
      </c>
      <c r="M1405" t="str">
        <f>"20170308"</f>
        <v>20170308</v>
      </c>
    </row>
    <row r="1406" spans="1:13" x14ac:dyDescent="0.25">
      <c r="A1406" t="str">
        <f>"00619092"</f>
        <v>00619092</v>
      </c>
      <c r="B1406" t="s">
        <v>3162</v>
      </c>
      <c r="C1406" t="s">
        <v>146</v>
      </c>
      <c r="D1406" t="s">
        <v>53</v>
      </c>
      <c r="E1406" t="s">
        <v>26</v>
      </c>
      <c r="F1406" t="s">
        <v>17</v>
      </c>
      <c r="G1406" t="str">
        <f>"02"</f>
        <v>02</v>
      </c>
      <c r="H1406" t="str">
        <f>"3  "</f>
        <v xml:space="preserve">3  </v>
      </c>
      <c r="I1406" t="str">
        <f>"2020/01/06"</f>
        <v>2020/01/06</v>
      </c>
      <c r="J1406" t="str">
        <f>"510"</f>
        <v>510</v>
      </c>
      <c r="K1406" t="str">
        <f>"20320102"</f>
        <v>20320102</v>
      </c>
      <c r="L1406" t="s">
        <v>18</v>
      </c>
      <c r="M1406" t="str">
        <f>"20180622"</f>
        <v>20180622</v>
      </c>
    </row>
    <row r="1407" spans="1:13" x14ac:dyDescent="0.25">
      <c r="A1407" t="str">
        <f>"00169716"</f>
        <v>00169716</v>
      </c>
      <c r="B1407" t="s">
        <v>3162</v>
      </c>
      <c r="C1407" t="s">
        <v>96</v>
      </c>
      <c r="D1407" t="s">
        <v>16</v>
      </c>
      <c r="E1407" t="s">
        <v>26</v>
      </c>
      <c r="F1407" t="s">
        <v>17</v>
      </c>
      <c r="G1407" t="str">
        <f>"02"</f>
        <v>02</v>
      </c>
      <c r="H1407" t="str">
        <f>"7  "</f>
        <v xml:space="preserve">7  </v>
      </c>
      <c r="I1407" t="str">
        <f>"1998/01/27"</f>
        <v>1998/01/27</v>
      </c>
      <c r="J1407" t="str">
        <f>"503"</f>
        <v>503</v>
      </c>
      <c r="K1407" t="s">
        <v>18</v>
      </c>
      <c r="L1407" t="s">
        <v>18</v>
      </c>
      <c r="M1407" t="str">
        <f>"19820512"</f>
        <v>19820512</v>
      </c>
    </row>
    <row r="1408" spans="1:13" x14ac:dyDescent="0.25">
      <c r="A1408" t="str">
        <f>"00144411"</f>
        <v>00144411</v>
      </c>
      <c r="B1408" t="s">
        <v>3170</v>
      </c>
      <c r="C1408" t="s">
        <v>3171</v>
      </c>
      <c r="D1408" t="s">
        <v>15</v>
      </c>
      <c r="E1408" t="s">
        <v>16</v>
      </c>
      <c r="F1408" t="s">
        <v>17</v>
      </c>
      <c r="G1408" t="str">
        <f>"02"</f>
        <v>02</v>
      </c>
      <c r="H1408" t="str">
        <f>"7  "</f>
        <v xml:space="preserve">7  </v>
      </c>
      <c r="I1408" t="str">
        <f>"2001/01/17"</f>
        <v>2001/01/17</v>
      </c>
      <c r="J1408" t="str">
        <f>"533"</f>
        <v>533</v>
      </c>
      <c r="K1408" t="s">
        <v>18</v>
      </c>
      <c r="L1408" t="s">
        <v>18</v>
      </c>
      <c r="M1408" t="str">
        <f>"19950320"</f>
        <v>19950320</v>
      </c>
    </row>
    <row r="1409" spans="1:13" x14ac:dyDescent="0.25">
      <c r="A1409" t="str">
        <f>"00649103"</f>
        <v>00649103</v>
      </c>
      <c r="B1409" t="s">
        <v>3170</v>
      </c>
      <c r="C1409" t="s">
        <v>3080</v>
      </c>
      <c r="D1409" t="s">
        <v>25</v>
      </c>
      <c r="E1409" t="s">
        <v>16</v>
      </c>
      <c r="F1409" t="s">
        <v>17</v>
      </c>
      <c r="G1409" t="str">
        <f>"02"</f>
        <v>02</v>
      </c>
      <c r="H1409" t="str">
        <f>"3  "</f>
        <v xml:space="preserve">3  </v>
      </c>
      <c r="I1409" t="str">
        <f>"2010/09/16"</f>
        <v>2010/09/16</v>
      </c>
      <c r="J1409" t="str">
        <f>"510"</f>
        <v>510</v>
      </c>
      <c r="K1409" t="str">
        <f>"20220726"</f>
        <v>20220726</v>
      </c>
      <c r="L1409" t="s">
        <v>18</v>
      </c>
      <c r="M1409" t="str">
        <f>"20090815"</f>
        <v>20090815</v>
      </c>
    </row>
    <row r="1410" spans="1:13" x14ac:dyDescent="0.25">
      <c r="A1410" t="str">
        <f>"00167905"</f>
        <v>00167905</v>
      </c>
      <c r="B1410" t="s">
        <v>3170</v>
      </c>
      <c r="C1410" t="s">
        <v>66</v>
      </c>
      <c r="D1410" t="s">
        <v>61</v>
      </c>
      <c r="E1410" t="s">
        <v>16</v>
      </c>
      <c r="F1410" t="s">
        <v>17</v>
      </c>
      <c r="G1410" t="str">
        <f>"02"</f>
        <v>02</v>
      </c>
      <c r="H1410" t="str">
        <f>"3  "</f>
        <v xml:space="preserve">3  </v>
      </c>
      <c r="I1410" t="str">
        <f>"2016/02/24"</f>
        <v>2016/02/24</v>
      </c>
      <c r="J1410" t="str">
        <f>"110"</f>
        <v>110</v>
      </c>
      <c r="K1410" t="str">
        <f>"20330822"</f>
        <v>20330822</v>
      </c>
      <c r="L1410" t="s">
        <v>18</v>
      </c>
      <c r="M1410" t="str">
        <f>"20150118"</f>
        <v>20150118</v>
      </c>
    </row>
    <row r="1411" spans="1:13" x14ac:dyDescent="0.25">
      <c r="A1411" t="str">
        <f>"00459571"</f>
        <v>00459571</v>
      </c>
      <c r="B1411" t="s">
        <v>3170</v>
      </c>
      <c r="C1411" t="s">
        <v>320</v>
      </c>
      <c r="D1411" t="s">
        <v>25</v>
      </c>
      <c r="E1411" t="s">
        <v>16</v>
      </c>
      <c r="F1411" t="s">
        <v>17</v>
      </c>
      <c r="G1411" t="str">
        <f>"02"</f>
        <v>02</v>
      </c>
      <c r="H1411" t="str">
        <f>"7  "</f>
        <v xml:space="preserve">7  </v>
      </c>
      <c r="I1411" t="str">
        <f>"2010/02/27"</f>
        <v>2010/02/27</v>
      </c>
      <c r="J1411" t="str">
        <f>"110"</f>
        <v>110</v>
      </c>
      <c r="K1411" t="s">
        <v>18</v>
      </c>
      <c r="L1411" t="s">
        <v>18</v>
      </c>
      <c r="M1411" t="str">
        <f>"20071012"</f>
        <v>20071012</v>
      </c>
    </row>
    <row r="1412" spans="1:13" x14ac:dyDescent="0.25">
      <c r="A1412" t="str">
        <f>"00570210"</f>
        <v>00570210</v>
      </c>
      <c r="B1412" t="s">
        <v>3170</v>
      </c>
      <c r="C1412" t="s">
        <v>770</v>
      </c>
      <c r="D1412" t="s">
        <v>25</v>
      </c>
      <c r="E1412" t="s">
        <v>16</v>
      </c>
      <c r="F1412" t="s">
        <v>17</v>
      </c>
      <c r="G1412" t="str">
        <f>"02"</f>
        <v>02</v>
      </c>
      <c r="H1412" t="str">
        <f>"3  "</f>
        <v xml:space="preserve">3  </v>
      </c>
      <c r="I1412" t="str">
        <f>"2013/09/10"</f>
        <v>2013/09/10</v>
      </c>
      <c r="J1412" t="str">
        <f>"510"</f>
        <v>510</v>
      </c>
      <c r="K1412" t="str">
        <f>"20370828"</f>
        <v>20370828</v>
      </c>
      <c r="L1412" t="s">
        <v>18</v>
      </c>
      <c r="M1412" t="str">
        <f>"20120729"</f>
        <v>20120729</v>
      </c>
    </row>
    <row r="1413" spans="1:13" x14ac:dyDescent="0.25">
      <c r="A1413" t="str">
        <f>"00292988"</f>
        <v>00292988</v>
      </c>
      <c r="B1413" t="s">
        <v>3170</v>
      </c>
      <c r="C1413" t="s">
        <v>3172</v>
      </c>
      <c r="D1413" t="s">
        <v>61</v>
      </c>
      <c r="E1413" t="s">
        <v>16</v>
      </c>
      <c r="F1413" t="s">
        <v>17</v>
      </c>
      <c r="G1413" t="str">
        <f>"02"</f>
        <v>02</v>
      </c>
      <c r="H1413" t="str">
        <f>"3  "</f>
        <v xml:space="preserve">3  </v>
      </c>
      <c r="I1413" t="str">
        <f>"2020/09/16"</f>
        <v>2020/09/16</v>
      </c>
      <c r="J1413" t="str">
        <f>"533"</f>
        <v>533</v>
      </c>
      <c r="K1413" t="str">
        <f>"20400716"</f>
        <v>20400716</v>
      </c>
      <c r="L1413" t="s">
        <v>18</v>
      </c>
      <c r="M1413" t="str">
        <f>"20090822"</f>
        <v>20090822</v>
      </c>
    </row>
    <row r="1414" spans="1:13" x14ac:dyDescent="0.25">
      <c r="A1414" t="str">
        <f>"00454488"</f>
        <v>00454488</v>
      </c>
      <c r="B1414" t="s">
        <v>3174</v>
      </c>
      <c r="C1414" t="s">
        <v>140</v>
      </c>
      <c r="D1414" t="s">
        <v>61</v>
      </c>
      <c r="E1414" t="s">
        <v>16</v>
      </c>
      <c r="F1414" t="s">
        <v>17</v>
      </c>
      <c r="G1414" t="str">
        <f>"02"</f>
        <v>02</v>
      </c>
      <c r="H1414" t="str">
        <f>"7  "</f>
        <v xml:space="preserve">7  </v>
      </c>
      <c r="I1414" t="str">
        <f>"2016/10/27"</f>
        <v>2016/10/27</v>
      </c>
      <c r="J1414" t="str">
        <f>"510"</f>
        <v>510</v>
      </c>
      <c r="K1414" t="s">
        <v>18</v>
      </c>
      <c r="L1414" t="s">
        <v>18</v>
      </c>
      <c r="M1414" t="str">
        <f>"20140903"</f>
        <v>20140903</v>
      </c>
    </row>
    <row r="1415" spans="1:13" x14ac:dyDescent="0.25">
      <c r="A1415" t="str">
        <f>"00345594"</f>
        <v>00345594</v>
      </c>
      <c r="B1415" t="s">
        <v>3174</v>
      </c>
      <c r="C1415" t="s">
        <v>651</v>
      </c>
      <c r="D1415" t="s">
        <v>51</v>
      </c>
      <c r="E1415" t="s">
        <v>26</v>
      </c>
      <c r="F1415" t="s">
        <v>17</v>
      </c>
      <c r="G1415" t="str">
        <f>"02"</f>
        <v>02</v>
      </c>
      <c r="H1415" t="str">
        <f>"3  "</f>
        <v xml:space="preserve">3  </v>
      </c>
      <c r="I1415" t="str">
        <f>"2020/05/02"</f>
        <v>2020/05/02</v>
      </c>
      <c r="J1415" t="str">
        <f>"510"</f>
        <v>510</v>
      </c>
      <c r="K1415" t="str">
        <f>"20230824"</f>
        <v>20230824</v>
      </c>
      <c r="L1415" t="s">
        <v>18</v>
      </c>
      <c r="M1415" t="str">
        <f>"20180610"</f>
        <v>20180610</v>
      </c>
    </row>
    <row r="1416" spans="1:13" x14ac:dyDescent="0.25">
      <c r="A1416" t="str">
        <f>"00480728"</f>
        <v>00480728</v>
      </c>
      <c r="B1416" t="s">
        <v>3174</v>
      </c>
      <c r="C1416" t="s">
        <v>59</v>
      </c>
      <c r="D1416" t="s">
        <v>73</v>
      </c>
      <c r="E1416" t="s">
        <v>26</v>
      </c>
      <c r="F1416" t="s">
        <v>17</v>
      </c>
      <c r="G1416" t="str">
        <f>"02"</f>
        <v>02</v>
      </c>
      <c r="H1416" t="str">
        <f>"3  "</f>
        <v xml:space="preserve">3  </v>
      </c>
      <c r="I1416" t="str">
        <f>"2017/10/10"</f>
        <v>2017/10/10</v>
      </c>
      <c r="J1416" t="str">
        <f>"510"</f>
        <v>510</v>
      </c>
      <c r="K1416" t="str">
        <f>"20280904"</f>
        <v>20280904</v>
      </c>
      <c r="L1416" t="s">
        <v>18</v>
      </c>
      <c r="M1416" t="str">
        <f>"20150408"</f>
        <v>20150408</v>
      </c>
    </row>
    <row r="1417" spans="1:13" x14ac:dyDescent="0.25">
      <c r="A1417" t="str">
        <f>"00609440"</f>
        <v>00609440</v>
      </c>
      <c r="B1417" t="s">
        <v>3179</v>
      </c>
      <c r="C1417" t="s">
        <v>3183</v>
      </c>
      <c r="D1417" t="s">
        <v>25</v>
      </c>
      <c r="E1417" t="s">
        <v>26</v>
      </c>
      <c r="F1417" t="s">
        <v>17</v>
      </c>
      <c r="G1417" t="str">
        <f>"02"</f>
        <v>02</v>
      </c>
      <c r="H1417" t="str">
        <f>"3  "</f>
        <v xml:space="preserve">3  </v>
      </c>
      <c r="I1417" t="str">
        <f>"2015/08/14"</f>
        <v>2015/08/14</v>
      </c>
      <c r="J1417" t="str">
        <f>"510"</f>
        <v>510</v>
      </c>
      <c r="K1417" t="str">
        <f>"20210907"</f>
        <v>20210907</v>
      </c>
      <c r="L1417" t="s">
        <v>18</v>
      </c>
      <c r="M1417" t="str">
        <f>"20120925"</f>
        <v>20120925</v>
      </c>
    </row>
    <row r="1418" spans="1:13" x14ac:dyDescent="0.25">
      <c r="A1418" t="str">
        <f>"00374421"</f>
        <v>00374421</v>
      </c>
      <c r="B1418" t="s">
        <v>3185</v>
      </c>
      <c r="C1418" t="s">
        <v>3186</v>
      </c>
      <c r="D1418" t="s">
        <v>61</v>
      </c>
      <c r="E1418" t="s">
        <v>26</v>
      </c>
      <c r="F1418" t="s">
        <v>17</v>
      </c>
      <c r="G1418" t="str">
        <f>"02"</f>
        <v>02</v>
      </c>
      <c r="H1418" t="str">
        <f>"3  "</f>
        <v xml:space="preserve">3  </v>
      </c>
      <c r="I1418" t="str">
        <f>"2018/07/13"</f>
        <v>2018/07/13</v>
      </c>
      <c r="J1418" t="str">
        <f>"510"</f>
        <v>510</v>
      </c>
      <c r="K1418" t="str">
        <f>"20300507"</f>
        <v>20300507</v>
      </c>
      <c r="L1418" t="s">
        <v>18</v>
      </c>
      <c r="M1418" t="str">
        <f>"20161106"</f>
        <v>20161106</v>
      </c>
    </row>
    <row r="1419" spans="1:13" x14ac:dyDescent="0.25">
      <c r="A1419" t="str">
        <f>"00230372"</f>
        <v>00230372</v>
      </c>
      <c r="B1419" t="s">
        <v>3187</v>
      </c>
      <c r="C1419" t="s">
        <v>14</v>
      </c>
      <c r="D1419" t="s">
        <v>53</v>
      </c>
      <c r="E1419" t="s">
        <v>16</v>
      </c>
      <c r="F1419" t="s">
        <v>17</v>
      </c>
      <c r="G1419" t="str">
        <f>"02"</f>
        <v>02</v>
      </c>
      <c r="H1419" t="str">
        <f>"3  "</f>
        <v xml:space="preserve">3  </v>
      </c>
      <c r="I1419" t="str">
        <f>"2010/10/07"</f>
        <v>2010/10/07</v>
      </c>
      <c r="J1419" t="str">
        <f>"110"</f>
        <v>110</v>
      </c>
      <c r="K1419" t="str">
        <f>"20201022"</f>
        <v>20201022</v>
      </c>
      <c r="L1419" t="s">
        <v>18</v>
      </c>
      <c r="M1419" t="str">
        <f>"20100714"</f>
        <v>20100714</v>
      </c>
    </row>
    <row r="1420" spans="1:13" x14ac:dyDescent="0.25">
      <c r="A1420" t="str">
        <f>"00496269"</f>
        <v>00496269</v>
      </c>
      <c r="B1420" t="s">
        <v>3187</v>
      </c>
      <c r="C1420" t="s">
        <v>117</v>
      </c>
      <c r="D1420" t="s">
        <v>21</v>
      </c>
      <c r="E1420" t="s">
        <v>26</v>
      </c>
      <c r="F1420" t="s">
        <v>17</v>
      </c>
      <c r="G1420" t="str">
        <f>"02"</f>
        <v>02</v>
      </c>
      <c r="H1420" t="str">
        <f>"3  "</f>
        <v xml:space="preserve">3  </v>
      </c>
      <c r="I1420" t="str">
        <f>"2019/08/09"</f>
        <v>2019/08/09</v>
      </c>
      <c r="J1420" t="str">
        <f>"510"</f>
        <v>510</v>
      </c>
      <c r="K1420" t="str">
        <f>"20230115"</f>
        <v>20230115</v>
      </c>
      <c r="L1420" t="s">
        <v>18</v>
      </c>
      <c r="M1420" t="str">
        <f>"20170804"</f>
        <v>20170804</v>
      </c>
    </row>
    <row r="1421" spans="1:13" x14ac:dyDescent="0.25">
      <c r="A1421" t="str">
        <f>"00263233"</f>
        <v>00263233</v>
      </c>
      <c r="B1421" t="s">
        <v>3189</v>
      </c>
      <c r="C1421" t="s">
        <v>150</v>
      </c>
      <c r="D1421" t="s">
        <v>15</v>
      </c>
      <c r="E1421" t="s">
        <v>26</v>
      </c>
      <c r="F1421" t="s">
        <v>17</v>
      </c>
      <c r="G1421" t="str">
        <f>"02"</f>
        <v>02</v>
      </c>
      <c r="H1421" t="str">
        <f>"7  "</f>
        <v xml:space="preserve">7  </v>
      </c>
      <c r="I1421" t="str">
        <f>"2001/01/17"</f>
        <v>2001/01/17</v>
      </c>
      <c r="J1421" t="str">
        <f>"533"</f>
        <v>533</v>
      </c>
      <c r="K1421" t="s">
        <v>18</v>
      </c>
      <c r="L1421" t="s">
        <v>18</v>
      </c>
      <c r="M1421" t="str">
        <f>"19901212"</f>
        <v>19901212</v>
      </c>
    </row>
    <row r="1422" spans="1:13" x14ac:dyDescent="0.25">
      <c r="A1422" t="str">
        <f>"00178571"</f>
        <v>00178571</v>
      </c>
      <c r="B1422" t="s">
        <v>3191</v>
      </c>
      <c r="C1422" t="s">
        <v>1998</v>
      </c>
      <c r="D1422" t="s">
        <v>51</v>
      </c>
      <c r="E1422" t="s">
        <v>26</v>
      </c>
      <c r="F1422" t="s">
        <v>17</v>
      </c>
      <c r="G1422" t="str">
        <f>"02"</f>
        <v>02</v>
      </c>
      <c r="H1422" t="str">
        <f>"3  "</f>
        <v xml:space="preserve">3  </v>
      </c>
      <c r="I1422" t="str">
        <f>"2017/02/21"</f>
        <v>2017/02/21</v>
      </c>
      <c r="J1422" t="str">
        <f>"110"</f>
        <v>110</v>
      </c>
      <c r="K1422" t="str">
        <f>"20230812"</f>
        <v>20230812</v>
      </c>
      <c r="L1422" t="s">
        <v>18</v>
      </c>
      <c r="M1422" t="str">
        <f>"20160114"</f>
        <v>20160114</v>
      </c>
    </row>
    <row r="1423" spans="1:13" x14ac:dyDescent="0.25">
      <c r="A1423" t="str">
        <f>"00611129"</f>
        <v>00611129</v>
      </c>
      <c r="B1423" t="s">
        <v>3191</v>
      </c>
      <c r="C1423" t="s">
        <v>135</v>
      </c>
      <c r="D1423" t="s">
        <v>25</v>
      </c>
      <c r="E1423" t="s">
        <v>26</v>
      </c>
      <c r="F1423" t="s">
        <v>17</v>
      </c>
      <c r="G1423" t="str">
        <f>"02"</f>
        <v>02</v>
      </c>
      <c r="H1423" t="str">
        <f>"7  "</f>
        <v xml:space="preserve">7  </v>
      </c>
      <c r="I1423" t="str">
        <f>"2012/07/01"</f>
        <v>2012/07/01</v>
      </c>
      <c r="J1423" t="str">
        <f>"110"</f>
        <v>110</v>
      </c>
      <c r="K1423" t="s">
        <v>18</v>
      </c>
      <c r="L1423" t="s">
        <v>18</v>
      </c>
      <c r="M1423" t="str">
        <f>"20100915"</f>
        <v>20100915</v>
      </c>
    </row>
    <row r="1424" spans="1:13" x14ac:dyDescent="0.25">
      <c r="A1424" t="str">
        <f>"00907480"</f>
        <v>00907480</v>
      </c>
      <c r="B1424" t="s">
        <v>3191</v>
      </c>
      <c r="C1424" t="s">
        <v>118</v>
      </c>
      <c r="D1424" t="s">
        <v>456</v>
      </c>
      <c r="E1424" t="s">
        <v>26</v>
      </c>
      <c r="F1424" t="s">
        <v>17</v>
      </c>
      <c r="G1424" t="str">
        <f>"02"</f>
        <v>02</v>
      </c>
      <c r="H1424" t="str">
        <f>"3  "</f>
        <v xml:space="preserve">3  </v>
      </c>
      <c r="I1424" t="str">
        <f>"2020/01/13"</f>
        <v>2020/01/13</v>
      </c>
      <c r="J1424" t="str">
        <f>"503"</f>
        <v>503</v>
      </c>
      <c r="K1424" t="str">
        <f>"20210322"</f>
        <v>20210322</v>
      </c>
      <c r="L1424" t="s">
        <v>18</v>
      </c>
      <c r="M1424" t="str">
        <f>"20190527"</f>
        <v>20190527</v>
      </c>
    </row>
    <row r="1425" spans="1:13" x14ac:dyDescent="0.25">
      <c r="A1425" t="str">
        <f>"00230758"</f>
        <v>00230758</v>
      </c>
      <c r="B1425" t="s">
        <v>3191</v>
      </c>
      <c r="C1425" t="s">
        <v>3192</v>
      </c>
      <c r="D1425" t="s">
        <v>53</v>
      </c>
      <c r="E1425" t="s">
        <v>26</v>
      </c>
      <c r="F1425" t="s">
        <v>17</v>
      </c>
      <c r="G1425" t="str">
        <f>"02"</f>
        <v>02</v>
      </c>
      <c r="H1425" t="str">
        <f>"3  "</f>
        <v xml:space="preserve">3  </v>
      </c>
      <c r="I1425" t="str">
        <f>"2001/02/05"</f>
        <v>2001/02/05</v>
      </c>
      <c r="J1425" t="str">
        <f>"510"</f>
        <v>510</v>
      </c>
      <c r="K1425" t="str">
        <f>"20250109"</f>
        <v>20250109</v>
      </c>
      <c r="L1425" t="s">
        <v>18</v>
      </c>
      <c r="M1425" t="str">
        <f>"19990927"</f>
        <v>19990927</v>
      </c>
    </row>
    <row r="1426" spans="1:13" x14ac:dyDescent="0.25">
      <c r="A1426" t="str">
        <f>"00172568"</f>
        <v>00172568</v>
      </c>
      <c r="B1426" t="s">
        <v>3191</v>
      </c>
      <c r="C1426" t="s">
        <v>136</v>
      </c>
      <c r="D1426" t="s">
        <v>15</v>
      </c>
      <c r="E1426" t="s">
        <v>26</v>
      </c>
      <c r="F1426" t="s">
        <v>17</v>
      </c>
      <c r="G1426" t="str">
        <f>"02"</f>
        <v>02</v>
      </c>
      <c r="H1426" t="str">
        <f>"7  "</f>
        <v xml:space="preserve">7  </v>
      </c>
      <c r="I1426" t="str">
        <f>"2001/01/17"</f>
        <v>2001/01/17</v>
      </c>
      <c r="J1426" t="str">
        <f>"533"</f>
        <v>533</v>
      </c>
      <c r="K1426" t="s">
        <v>18</v>
      </c>
      <c r="L1426" t="s">
        <v>18</v>
      </c>
      <c r="M1426" t="str">
        <f>"19931020"</f>
        <v>19931020</v>
      </c>
    </row>
    <row r="1427" spans="1:13" x14ac:dyDescent="0.25">
      <c r="A1427" t="str">
        <f>"00631291"</f>
        <v>00631291</v>
      </c>
      <c r="B1427" t="s">
        <v>3191</v>
      </c>
      <c r="C1427" t="s">
        <v>3196</v>
      </c>
      <c r="D1427" t="s">
        <v>121</v>
      </c>
      <c r="E1427" t="s">
        <v>26</v>
      </c>
      <c r="F1427" t="s">
        <v>17</v>
      </c>
      <c r="G1427" t="str">
        <f>"02"</f>
        <v>02</v>
      </c>
      <c r="H1427" t="str">
        <f>"3  "</f>
        <v xml:space="preserve">3  </v>
      </c>
      <c r="I1427" t="str">
        <f>"2019/11/22"</f>
        <v>2019/11/22</v>
      </c>
      <c r="J1427" t="str">
        <f>"510"</f>
        <v>510</v>
      </c>
      <c r="K1427" t="str">
        <f>"20240712"</f>
        <v>20240712</v>
      </c>
      <c r="L1427" t="s">
        <v>18</v>
      </c>
      <c r="M1427" t="str">
        <f>"20150627"</f>
        <v>20150627</v>
      </c>
    </row>
    <row r="1428" spans="1:13" x14ac:dyDescent="0.25">
      <c r="A1428" t="str">
        <f>"00668333"</f>
        <v>00668333</v>
      </c>
      <c r="B1428" t="s">
        <v>3191</v>
      </c>
      <c r="C1428" t="s">
        <v>72</v>
      </c>
      <c r="D1428" t="s">
        <v>25</v>
      </c>
      <c r="E1428" t="s">
        <v>26</v>
      </c>
      <c r="F1428" t="s">
        <v>17</v>
      </c>
      <c r="G1428" t="str">
        <f>"02"</f>
        <v>02</v>
      </c>
      <c r="H1428" t="str">
        <f>"3  "</f>
        <v xml:space="preserve">3  </v>
      </c>
      <c r="I1428" t="str">
        <f>"2018/10/12"</f>
        <v>2018/10/12</v>
      </c>
      <c r="J1428" t="str">
        <f>"510"</f>
        <v>510</v>
      </c>
      <c r="K1428" t="str">
        <f>"20351128"</f>
        <v>20351128</v>
      </c>
      <c r="L1428" t="s">
        <v>18</v>
      </c>
      <c r="M1428" t="str">
        <f>"20170725"</f>
        <v>20170725</v>
      </c>
    </row>
    <row r="1429" spans="1:13" x14ac:dyDescent="0.25">
      <c r="A1429" t="str">
        <f>"00619599"</f>
        <v>00619599</v>
      </c>
      <c r="B1429" t="s">
        <v>3191</v>
      </c>
      <c r="C1429" t="s">
        <v>72</v>
      </c>
      <c r="D1429" t="s">
        <v>61</v>
      </c>
      <c r="E1429" t="s">
        <v>26</v>
      </c>
      <c r="F1429" t="s">
        <v>17</v>
      </c>
      <c r="G1429" t="str">
        <f>"02"</f>
        <v>02</v>
      </c>
      <c r="H1429" t="str">
        <f>"7  "</f>
        <v xml:space="preserve">7  </v>
      </c>
      <c r="I1429" t="str">
        <f>"2010/01/08"</f>
        <v>2010/01/08</v>
      </c>
      <c r="J1429" t="str">
        <f>"510"</f>
        <v>510</v>
      </c>
      <c r="K1429" t="s">
        <v>18</v>
      </c>
      <c r="L1429" t="s">
        <v>18</v>
      </c>
      <c r="M1429" t="str">
        <f>"20080515"</f>
        <v>20080515</v>
      </c>
    </row>
    <row r="1430" spans="1:13" x14ac:dyDescent="0.25">
      <c r="A1430" t="str">
        <f>"00168921"</f>
        <v>00168921</v>
      </c>
      <c r="B1430" t="s">
        <v>3191</v>
      </c>
      <c r="C1430" t="s">
        <v>72</v>
      </c>
      <c r="D1430" t="s">
        <v>51</v>
      </c>
      <c r="E1430" t="s">
        <v>26</v>
      </c>
      <c r="F1430" t="s">
        <v>17</v>
      </c>
      <c r="G1430" t="str">
        <f>"02"</f>
        <v>02</v>
      </c>
      <c r="H1430" t="str">
        <f>"7  "</f>
        <v xml:space="preserve">7  </v>
      </c>
      <c r="I1430" t="str">
        <f>"2001/01/24"</f>
        <v>2001/01/24</v>
      </c>
      <c r="J1430" t="str">
        <f>"533"</f>
        <v>533</v>
      </c>
      <c r="K1430" t="s">
        <v>18</v>
      </c>
      <c r="L1430" t="s">
        <v>18</v>
      </c>
      <c r="M1430" t="str">
        <f>"19900620"</f>
        <v>19900620</v>
      </c>
    </row>
    <row r="1431" spans="1:13" x14ac:dyDescent="0.25">
      <c r="A1431" t="str">
        <f>"00308892"</f>
        <v>00308892</v>
      </c>
      <c r="B1431" t="s">
        <v>3191</v>
      </c>
      <c r="C1431" t="s">
        <v>250</v>
      </c>
      <c r="D1431" t="s">
        <v>51</v>
      </c>
      <c r="E1431" t="s">
        <v>26</v>
      </c>
      <c r="F1431" t="s">
        <v>17</v>
      </c>
      <c r="G1431" t="str">
        <f>"02"</f>
        <v>02</v>
      </c>
      <c r="H1431" t="str">
        <f>"3  "</f>
        <v xml:space="preserve">3  </v>
      </c>
      <c r="I1431" t="str">
        <f>"2014/07/18"</f>
        <v>2014/07/18</v>
      </c>
      <c r="J1431" t="str">
        <f>"110"</f>
        <v>110</v>
      </c>
      <c r="K1431" t="str">
        <f>"20281129"</f>
        <v>20281129</v>
      </c>
      <c r="L1431" t="s">
        <v>18</v>
      </c>
      <c r="M1431" t="str">
        <f>"20140628"</f>
        <v>20140628</v>
      </c>
    </row>
    <row r="1432" spans="1:13" x14ac:dyDescent="0.25">
      <c r="A1432" t="str">
        <f>"00623368"</f>
        <v>00623368</v>
      </c>
      <c r="B1432" t="s">
        <v>3203</v>
      </c>
      <c r="C1432" t="s">
        <v>59</v>
      </c>
      <c r="D1432" t="s">
        <v>15</v>
      </c>
      <c r="E1432" t="s">
        <v>26</v>
      </c>
      <c r="F1432" t="s">
        <v>17</v>
      </c>
      <c r="G1432" t="str">
        <f>"02"</f>
        <v>02</v>
      </c>
      <c r="H1432" t="str">
        <f>"3  "</f>
        <v xml:space="preserve">3  </v>
      </c>
      <c r="I1432" t="str">
        <f>"2018/08/28"</f>
        <v>2018/08/28</v>
      </c>
      <c r="J1432" t="str">
        <f>"503"</f>
        <v>503</v>
      </c>
      <c r="K1432" t="str">
        <f>"20370707"</f>
        <v>20370707</v>
      </c>
      <c r="L1432" t="s">
        <v>18</v>
      </c>
      <c r="M1432" t="str">
        <f>"20160219"</f>
        <v>20160219</v>
      </c>
    </row>
    <row r="1433" spans="1:13" x14ac:dyDescent="0.25">
      <c r="A1433" t="str">
        <f>"00136834"</f>
        <v>00136834</v>
      </c>
      <c r="B1433" t="s">
        <v>3204</v>
      </c>
      <c r="C1433" t="s">
        <v>447</v>
      </c>
      <c r="D1433" t="s">
        <v>16</v>
      </c>
      <c r="E1433" t="s">
        <v>16</v>
      </c>
      <c r="F1433" t="s">
        <v>17</v>
      </c>
      <c r="G1433" t="str">
        <f>"02"</f>
        <v>02</v>
      </c>
      <c r="H1433" t="str">
        <f>"7  "</f>
        <v xml:space="preserve">7  </v>
      </c>
      <c r="I1433" t="str">
        <f>"1991/06/16"</f>
        <v>1991/06/16</v>
      </c>
      <c r="J1433" t="str">
        <f>"824"</f>
        <v>824</v>
      </c>
      <c r="K1433" t="s">
        <v>18</v>
      </c>
      <c r="L1433" t="str">
        <f>"20230729"</f>
        <v>20230729</v>
      </c>
      <c r="M1433" t="str">
        <f>"19840418"</f>
        <v>19840418</v>
      </c>
    </row>
    <row r="1434" spans="1:13" x14ac:dyDescent="0.25">
      <c r="A1434" t="str">
        <f>"00186101"</f>
        <v>00186101</v>
      </c>
      <c r="B1434" t="s">
        <v>3205</v>
      </c>
      <c r="C1434" t="s">
        <v>788</v>
      </c>
      <c r="D1434" t="s">
        <v>45</v>
      </c>
      <c r="E1434" t="s">
        <v>16</v>
      </c>
      <c r="F1434" t="s">
        <v>17</v>
      </c>
      <c r="G1434" t="str">
        <f>"02"</f>
        <v>02</v>
      </c>
      <c r="H1434" t="str">
        <f>"7  "</f>
        <v xml:space="preserve">7  </v>
      </c>
      <c r="I1434" t="str">
        <f>"2016/09/09"</f>
        <v>2016/09/09</v>
      </c>
      <c r="J1434" t="str">
        <f>"110"</f>
        <v>110</v>
      </c>
      <c r="K1434" t="s">
        <v>18</v>
      </c>
      <c r="L1434" t="s">
        <v>18</v>
      </c>
      <c r="M1434" t="str">
        <f>"20151213"</f>
        <v>20151213</v>
      </c>
    </row>
    <row r="1435" spans="1:13" x14ac:dyDescent="0.25">
      <c r="A1435" t="str">
        <f>"00228754"</f>
        <v>00228754</v>
      </c>
      <c r="B1435" t="s">
        <v>3207</v>
      </c>
      <c r="C1435" t="s">
        <v>55</v>
      </c>
      <c r="D1435" t="s">
        <v>15</v>
      </c>
      <c r="E1435" t="s">
        <v>16</v>
      </c>
      <c r="F1435" t="s">
        <v>17</v>
      </c>
      <c r="G1435" t="str">
        <f>"02"</f>
        <v>02</v>
      </c>
      <c r="H1435" t="str">
        <f>"7  "</f>
        <v xml:space="preserve">7  </v>
      </c>
      <c r="I1435" t="str">
        <f>"1990/03/02"</f>
        <v>1990/03/02</v>
      </c>
      <c r="J1435" t="str">
        <f>"510"</f>
        <v>510</v>
      </c>
      <c r="K1435" t="s">
        <v>18</v>
      </c>
      <c r="L1435" t="s">
        <v>18</v>
      </c>
      <c r="M1435" t="str">
        <f>"19891013"</f>
        <v>19891013</v>
      </c>
    </row>
    <row r="1436" spans="1:13" x14ac:dyDescent="0.25">
      <c r="A1436" t="str">
        <f>"00328265"</f>
        <v>00328265</v>
      </c>
      <c r="B1436" t="s">
        <v>3208</v>
      </c>
      <c r="C1436" t="s">
        <v>721</v>
      </c>
      <c r="D1436" t="s">
        <v>61</v>
      </c>
      <c r="E1436" t="s">
        <v>26</v>
      </c>
      <c r="F1436" t="s">
        <v>17</v>
      </c>
      <c r="G1436" t="str">
        <f>"02"</f>
        <v>02</v>
      </c>
      <c r="H1436" t="str">
        <f>"3  "</f>
        <v xml:space="preserve">3  </v>
      </c>
      <c r="I1436" t="str">
        <f>"2019/03/11"</f>
        <v>2019/03/11</v>
      </c>
      <c r="J1436" t="str">
        <f>"510"</f>
        <v>510</v>
      </c>
      <c r="K1436" t="str">
        <f>"20320116"</f>
        <v>20320116</v>
      </c>
      <c r="L1436" t="s">
        <v>18</v>
      </c>
      <c r="M1436" t="str">
        <f>"20180725"</f>
        <v>20180725</v>
      </c>
    </row>
    <row r="1437" spans="1:13" x14ac:dyDescent="0.25">
      <c r="A1437" t="str">
        <f>"00268170"</f>
        <v>00268170</v>
      </c>
      <c r="B1437" t="s">
        <v>3208</v>
      </c>
      <c r="C1437" t="s">
        <v>568</v>
      </c>
      <c r="D1437" t="s">
        <v>51</v>
      </c>
      <c r="E1437" t="s">
        <v>26</v>
      </c>
      <c r="F1437" t="s">
        <v>17</v>
      </c>
      <c r="G1437" t="str">
        <f>"02"</f>
        <v>02</v>
      </c>
      <c r="H1437" t="str">
        <f>"3  "</f>
        <v xml:space="preserve">3  </v>
      </c>
      <c r="I1437" t="str">
        <f>"2020/09/16"</f>
        <v>2020/09/16</v>
      </c>
      <c r="J1437" t="str">
        <f>"533"</f>
        <v>533</v>
      </c>
      <c r="K1437" t="str">
        <f>"20440705"</f>
        <v>20440705</v>
      </c>
      <c r="L1437" t="s">
        <v>18</v>
      </c>
      <c r="M1437" t="str">
        <f>"20040907"</f>
        <v>20040907</v>
      </c>
    </row>
    <row r="1438" spans="1:13" x14ac:dyDescent="0.25">
      <c r="A1438" t="str">
        <f>"00263234"</f>
        <v>00263234</v>
      </c>
      <c r="B1438" t="s">
        <v>3208</v>
      </c>
      <c r="C1438" t="s">
        <v>49</v>
      </c>
      <c r="D1438" t="s">
        <v>51</v>
      </c>
      <c r="E1438" t="s">
        <v>26</v>
      </c>
      <c r="F1438" t="s">
        <v>17</v>
      </c>
      <c r="G1438" t="str">
        <f>"02"</f>
        <v>02</v>
      </c>
      <c r="H1438" t="str">
        <f>"7  "</f>
        <v xml:space="preserve">7  </v>
      </c>
      <c r="I1438" t="str">
        <f>"2001/01/03"</f>
        <v>2001/01/03</v>
      </c>
      <c r="J1438" t="str">
        <f>"533"</f>
        <v>533</v>
      </c>
      <c r="K1438" t="s">
        <v>18</v>
      </c>
      <c r="L1438" t="s">
        <v>18</v>
      </c>
      <c r="M1438" t="str">
        <f>"19901212"</f>
        <v>19901212</v>
      </c>
    </row>
    <row r="1439" spans="1:13" x14ac:dyDescent="0.25">
      <c r="A1439" t="str">
        <f>"00750595"</f>
        <v>00750595</v>
      </c>
      <c r="B1439" t="s">
        <v>3209</v>
      </c>
      <c r="C1439" t="s">
        <v>14</v>
      </c>
      <c r="D1439" t="s">
        <v>51</v>
      </c>
      <c r="E1439" t="s">
        <v>26</v>
      </c>
      <c r="F1439" t="s">
        <v>17</v>
      </c>
      <c r="G1439" t="str">
        <f>"02"</f>
        <v>02</v>
      </c>
      <c r="H1439" t="str">
        <f>"3  "</f>
        <v xml:space="preserve">3  </v>
      </c>
      <c r="I1439" t="str">
        <f>"2017/05/19"</f>
        <v>2017/05/19</v>
      </c>
      <c r="J1439" t="str">
        <f>"510"</f>
        <v>510</v>
      </c>
      <c r="K1439" t="str">
        <f>"20270316"</f>
        <v>20270316</v>
      </c>
      <c r="L1439" t="s">
        <v>18</v>
      </c>
      <c r="M1439" t="str">
        <f>"20160601"</f>
        <v>20160601</v>
      </c>
    </row>
    <row r="1440" spans="1:13" x14ac:dyDescent="0.25">
      <c r="A1440" t="str">
        <f>"00159380"</f>
        <v>00159380</v>
      </c>
      <c r="B1440" t="s">
        <v>3209</v>
      </c>
      <c r="C1440" t="s">
        <v>3210</v>
      </c>
      <c r="D1440" t="s">
        <v>25</v>
      </c>
      <c r="E1440" t="s">
        <v>16</v>
      </c>
      <c r="F1440" t="s">
        <v>17</v>
      </c>
      <c r="G1440" t="str">
        <f>"02"</f>
        <v>02</v>
      </c>
      <c r="H1440" t="str">
        <f>"7  "</f>
        <v xml:space="preserve">7  </v>
      </c>
      <c r="I1440" t="str">
        <f>"1983/03/04"</f>
        <v>1983/03/04</v>
      </c>
      <c r="J1440" t="str">
        <f>"503"</f>
        <v>503</v>
      </c>
      <c r="K1440" t="s">
        <v>18</v>
      </c>
      <c r="L1440" t="str">
        <f>"20061001"</f>
        <v>20061001</v>
      </c>
      <c r="M1440" t="str">
        <f>"19810303"</f>
        <v>19810303</v>
      </c>
    </row>
    <row r="1441" spans="1:13" x14ac:dyDescent="0.25">
      <c r="A1441" t="str">
        <f>"00295290"</f>
        <v>00295290</v>
      </c>
      <c r="B1441" t="s">
        <v>3209</v>
      </c>
      <c r="C1441" t="s">
        <v>555</v>
      </c>
      <c r="D1441" t="s">
        <v>25</v>
      </c>
      <c r="E1441" t="s">
        <v>16</v>
      </c>
      <c r="F1441" t="s">
        <v>17</v>
      </c>
      <c r="G1441" t="str">
        <f>"02"</f>
        <v>02</v>
      </c>
      <c r="H1441" t="str">
        <f>"3  "</f>
        <v xml:space="preserve">3  </v>
      </c>
      <c r="I1441" t="str">
        <f>"2017/08/11"</f>
        <v>2017/08/11</v>
      </c>
      <c r="J1441" t="str">
        <f>"510"</f>
        <v>510</v>
      </c>
      <c r="K1441" t="str">
        <f>"20210427"</f>
        <v>20210427</v>
      </c>
      <c r="L1441" t="s">
        <v>18</v>
      </c>
      <c r="M1441" t="str">
        <f>"20151120"</f>
        <v>20151120</v>
      </c>
    </row>
    <row r="1442" spans="1:13" x14ac:dyDescent="0.25">
      <c r="A1442" t="str">
        <f>"00254509"</f>
        <v>00254509</v>
      </c>
      <c r="B1442" t="s">
        <v>3209</v>
      </c>
      <c r="C1442" t="s">
        <v>677</v>
      </c>
      <c r="D1442" t="s">
        <v>25</v>
      </c>
      <c r="E1442" t="s">
        <v>26</v>
      </c>
      <c r="F1442" t="s">
        <v>17</v>
      </c>
      <c r="G1442" t="str">
        <f>"02"</f>
        <v>02</v>
      </c>
      <c r="H1442" t="str">
        <f>"7  "</f>
        <v xml:space="preserve">7  </v>
      </c>
      <c r="I1442" t="str">
        <f>"2011/05/09"</f>
        <v>2011/05/09</v>
      </c>
      <c r="J1442" t="str">
        <f>"503"</f>
        <v>503</v>
      </c>
      <c r="K1442" t="s">
        <v>18</v>
      </c>
      <c r="L1442" t="s">
        <v>18</v>
      </c>
      <c r="M1442" t="str">
        <f>"20100103"</f>
        <v>20100103</v>
      </c>
    </row>
    <row r="1443" spans="1:13" x14ac:dyDescent="0.25">
      <c r="A1443" t="str">
        <f>"00383389"</f>
        <v>00383389</v>
      </c>
      <c r="B1443" t="s">
        <v>3214</v>
      </c>
      <c r="C1443" t="s">
        <v>3215</v>
      </c>
      <c r="D1443" t="s">
        <v>51</v>
      </c>
      <c r="E1443" t="s">
        <v>26</v>
      </c>
      <c r="F1443" t="s">
        <v>17</v>
      </c>
      <c r="G1443" t="str">
        <f>"02"</f>
        <v>02</v>
      </c>
      <c r="H1443" t="str">
        <f>"7  "</f>
        <v xml:space="preserve">7  </v>
      </c>
      <c r="I1443" t="str">
        <f>"2018/06/12"</f>
        <v>2018/06/12</v>
      </c>
      <c r="J1443" t="str">
        <f>"531"</f>
        <v>531</v>
      </c>
      <c r="K1443" t="s">
        <v>18</v>
      </c>
      <c r="L1443" t="s">
        <v>18</v>
      </c>
      <c r="M1443" t="str">
        <f>"20160713"</f>
        <v>20160713</v>
      </c>
    </row>
    <row r="1444" spans="1:13" x14ac:dyDescent="0.25">
      <c r="A1444" t="str">
        <f>"00379176"</f>
        <v>00379176</v>
      </c>
      <c r="B1444" t="s">
        <v>3214</v>
      </c>
      <c r="C1444" t="s">
        <v>1378</v>
      </c>
      <c r="D1444" t="s">
        <v>25</v>
      </c>
      <c r="E1444" t="s">
        <v>16</v>
      </c>
      <c r="F1444" t="s">
        <v>17</v>
      </c>
      <c r="G1444" t="str">
        <f>"02"</f>
        <v>02</v>
      </c>
      <c r="H1444" t="str">
        <f>"3  "</f>
        <v xml:space="preserve">3  </v>
      </c>
      <c r="I1444" t="str">
        <f>"2013/09/10"</f>
        <v>2013/09/10</v>
      </c>
      <c r="J1444" t="str">
        <f>"510"</f>
        <v>510</v>
      </c>
      <c r="K1444" t="str">
        <f>"20240825"</f>
        <v>20240825</v>
      </c>
      <c r="L1444" t="s">
        <v>18</v>
      </c>
      <c r="M1444" t="str">
        <f>"20120228"</f>
        <v>20120228</v>
      </c>
    </row>
    <row r="1445" spans="1:13" x14ac:dyDescent="0.25">
      <c r="A1445" t="str">
        <f>"00689825"</f>
        <v>00689825</v>
      </c>
      <c r="B1445" t="s">
        <v>3216</v>
      </c>
      <c r="C1445" t="s">
        <v>358</v>
      </c>
      <c r="D1445" t="s">
        <v>25</v>
      </c>
      <c r="E1445" t="s">
        <v>26</v>
      </c>
      <c r="F1445" t="s">
        <v>17</v>
      </c>
      <c r="G1445" t="str">
        <f>"02"</f>
        <v>02</v>
      </c>
      <c r="H1445" t="str">
        <f>"3  "</f>
        <v xml:space="preserve">3  </v>
      </c>
      <c r="I1445" t="str">
        <f>"2014/06/25"</f>
        <v>2014/06/25</v>
      </c>
      <c r="J1445" t="str">
        <f>"110"</f>
        <v>110</v>
      </c>
      <c r="K1445" t="str">
        <f>"20211027"</f>
        <v>20211027</v>
      </c>
      <c r="L1445" t="s">
        <v>18</v>
      </c>
      <c r="M1445" t="str">
        <f>"20140202"</f>
        <v>20140202</v>
      </c>
    </row>
    <row r="1446" spans="1:13" x14ac:dyDescent="0.25">
      <c r="A1446" t="str">
        <f>"00516523"</f>
        <v>00516523</v>
      </c>
      <c r="B1446" t="s">
        <v>3218</v>
      </c>
      <c r="C1446" t="s">
        <v>308</v>
      </c>
      <c r="D1446" t="s">
        <v>31</v>
      </c>
      <c r="E1446" t="s">
        <v>16</v>
      </c>
      <c r="F1446" t="s">
        <v>17</v>
      </c>
      <c r="G1446" t="str">
        <f>"02"</f>
        <v>02</v>
      </c>
      <c r="H1446" t="str">
        <f>"3  "</f>
        <v xml:space="preserve">3  </v>
      </c>
      <c r="I1446" t="str">
        <f>"2007/04/12"</f>
        <v>2007/04/12</v>
      </c>
      <c r="J1446" t="str">
        <f>"510"</f>
        <v>510</v>
      </c>
      <c r="K1446" t="str">
        <f>"20230507"</f>
        <v>20230507</v>
      </c>
      <c r="L1446" t="s">
        <v>18</v>
      </c>
      <c r="M1446" t="str">
        <f>"20060404"</f>
        <v>20060404</v>
      </c>
    </row>
    <row r="1447" spans="1:13" x14ac:dyDescent="0.25">
      <c r="A1447" t="str">
        <f>"00756838"</f>
        <v>00756838</v>
      </c>
      <c r="B1447" t="s">
        <v>3219</v>
      </c>
      <c r="C1447" t="s">
        <v>3220</v>
      </c>
      <c r="D1447" t="s">
        <v>25</v>
      </c>
      <c r="E1447" t="s">
        <v>16</v>
      </c>
      <c r="F1447" t="s">
        <v>17</v>
      </c>
      <c r="G1447" t="str">
        <f>"02"</f>
        <v>02</v>
      </c>
      <c r="H1447" t="str">
        <f>"3  "</f>
        <v xml:space="preserve">3  </v>
      </c>
      <c r="I1447" t="str">
        <f>"2019/12/06"</f>
        <v>2019/12/06</v>
      </c>
      <c r="J1447" t="str">
        <f>"510"</f>
        <v>510</v>
      </c>
      <c r="K1447" t="str">
        <f>"20271002"</f>
        <v>20271002</v>
      </c>
      <c r="L1447" t="s">
        <v>18</v>
      </c>
      <c r="M1447" t="str">
        <f>"20180915"</f>
        <v>20180915</v>
      </c>
    </row>
    <row r="1448" spans="1:13" x14ac:dyDescent="0.25">
      <c r="A1448" t="str">
        <f>"00314953"</f>
        <v>00314953</v>
      </c>
      <c r="B1448" t="s">
        <v>3219</v>
      </c>
      <c r="C1448" t="s">
        <v>36</v>
      </c>
      <c r="D1448" t="s">
        <v>25</v>
      </c>
      <c r="E1448" t="s">
        <v>16</v>
      </c>
      <c r="F1448" t="s">
        <v>17</v>
      </c>
      <c r="G1448" t="str">
        <f>"02"</f>
        <v>02</v>
      </c>
      <c r="H1448" t="str">
        <f>"3  "</f>
        <v xml:space="preserve">3  </v>
      </c>
      <c r="I1448" t="str">
        <f>"2020/03/11"</f>
        <v>2020/03/11</v>
      </c>
      <c r="J1448" t="str">
        <f>"510"</f>
        <v>510</v>
      </c>
      <c r="K1448" t="str">
        <f>"20290606"</f>
        <v>20290606</v>
      </c>
      <c r="L1448" t="s">
        <v>18</v>
      </c>
      <c r="M1448" t="str">
        <f>"20180802"</f>
        <v>20180802</v>
      </c>
    </row>
    <row r="1449" spans="1:13" x14ac:dyDescent="0.25">
      <c r="A1449" t="str">
        <f>"00286395"</f>
        <v>00286395</v>
      </c>
      <c r="B1449" t="s">
        <v>3225</v>
      </c>
      <c r="C1449" t="s">
        <v>3226</v>
      </c>
      <c r="D1449" t="s">
        <v>51</v>
      </c>
      <c r="E1449" t="s">
        <v>26</v>
      </c>
      <c r="F1449" t="s">
        <v>17</v>
      </c>
      <c r="G1449" t="str">
        <f>"02"</f>
        <v>02</v>
      </c>
      <c r="H1449" t="str">
        <f>"3  "</f>
        <v xml:space="preserve">3  </v>
      </c>
      <c r="I1449" t="str">
        <f>"2014/08/08"</f>
        <v>2014/08/08</v>
      </c>
      <c r="J1449" t="str">
        <f>"510"</f>
        <v>510</v>
      </c>
      <c r="K1449" t="str">
        <f>"20230724"</f>
        <v>20230724</v>
      </c>
      <c r="L1449" t="s">
        <v>18</v>
      </c>
      <c r="M1449" t="str">
        <f>"20121216"</f>
        <v>20121216</v>
      </c>
    </row>
    <row r="1450" spans="1:13" x14ac:dyDescent="0.25">
      <c r="A1450" t="str">
        <f>"00442780"</f>
        <v>00442780</v>
      </c>
      <c r="B1450" t="s">
        <v>3228</v>
      </c>
      <c r="C1450" t="s">
        <v>649</v>
      </c>
      <c r="D1450" t="s">
        <v>15</v>
      </c>
      <c r="E1450" t="s">
        <v>16</v>
      </c>
      <c r="F1450" t="s">
        <v>17</v>
      </c>
      <c r="G1450" t="str">
        <f>"02"</f>
        <v>02</v>
      </c>
      <c r="H1450" t="str">
        <f>"3  "</f>
        <v xml:space="preserve">3  </v>
      </c>
      <c r="I1450" t="str">
        <f>"2018/09/05"</f>
        <v>2018/09/05</v>
      </c>
      <c r="J1450" t="str">
        <f>"503"</f>
        <v>503</v>
      </c>
      <c r="K1450" t="str">
        <f>"20211204"</f>
        <v>20211204</v>
      </c>
      <c r="L1450" t="s">
        <v>18</v>
      </c>
      <c r="M1450" t="str">
        <f>"20170718"</f>
        <v>20170718</v>
      </c>
    </row>
    <row r="1451" spans="1:13" x14ac:dyDescent="0.25">
      <c r="A1451" t="str">
        <f>"00476369"</f>
        <v>00476369</v>
      </c>
      <c r="B1451" t="s">
        <v>3229</v>
      </c>
      <c r="C1451" t="s">
        <v>3230</v>
      </c>
      <c r="D1451" t="s">
        <v>25</v>
      </c>
      <c r="E1451" t="s">
        <v>26</v>
      </c>
      <c r="F1451" t="s">
        <v>17</v>
      </c>
      <c r="G1451" t="str">
        <f>"02"</f>
        <v>02</v>
      </c>
      <c r="H1451" t="str">
        <f>"7  "</f>
        <v xml:space="preserve">7  </v>
      </c>
      <c r="I1451" t="str">
        <f>"2010/02/15"</f>
        <v>2010/02/15</v>
      </c>
      <c r="J1451" t="str">
        <f>"110"</f>
        <v>110</v>
      </c>
      <c r="K1451" t="s">
        <v>18</v>
      </c>
      <c r="L1451" t="s">
        <v>18</v>
      </c>
      <c r="M1451" t="str">
        <f>"20070603"</f>
        <v>20070603</v>
      </c>
    </row>
    <row r="1452" spans="1:13" x14ac:dyDescent="0.25">
      <c r="A1452" t="str">
        <f>"00278044"</f>
        <v>00278044</v>
      </c>
      <c r="B1452" t="s">
        <v>3232</v>
      </c>
      <c r="C1452" t="s">
        <v>55</v>
      </c>
      <c r="D1452" t="s">
        <v>45</v>
      </c>
      <c r="E1452" t="s">
        <v>16</v>
      </c>
      <c r="F1452" t="s">
        <v>17</v>
      </c>
      <c r="G1452" t="str">
        <f>"02"</f>
        <v>02</v>
      </c>
      <c r="H1452" t="str">
        <f>"3  "</f>
        <v xml:space="preserve">3  </v>
      </c>
      <c r="I1452" t="str">
        <f>"2020/09/02"</f>
        <v>2020/09/02</v>
      </c>
      <c r="J1452" t="str">
        <f>"533"</f>
        <v>533</v>
      </c>
      <c r="K1452" t="str">
        <f>"20401001"</f>
        <v>20401001</v>
      </c>
      <c r="L1452" t="s">
        <v>18</v>
      </c>
      <c r="M1452" t="str">
        <f>"20140312"</f>
        <v>20140312</v>
      </c>
    </row>
    <row r="1453" spans="1:13" x14ac:dyDescent="0.25">
      <c r="A1453" t="str">
        <f>"00808309"</f>
        <v>00808309</v>
      </c>
      <c r="B1453" t="s">
        <v>3233</v>
      </c>
      <c r="C1453" t="s">
        <v>327</v>
      </c>
      <c r="D1453" t="s">
        <v>15</v>
      </c>
      <c r="E1453" t="s">
        <v>16</v>
      </c>
      <c r="F1453" t="s">
        <v>17</v>
      </c>
      <c r="G1453" t="str">
        <f>"02"</f>
        <v>02</v>
      </c>
      <c r="H1453" t="str">
        <f>"3  "</f>
        <v xml:space="preserve">3  </v>
      </c>
      <c r="I1453" t="str">
        <f>"2017/01/12"</f>
        <v>2017/01/12</v>
      </c>
      <c r="J1453" t="str">
        <f>"510"</f>
        <v>510</v>
      </c>
      <c r="K1453" t="str">
        <f>"20220625"</f>
        <v>20220625</v>
      </c>
      <c r="L1453" t="s">
        <v>18</v>
      </c>
      <c r="M1453" t="str">
        <f>"20160606"</f>
        <v>20160606</v>
      </c>
    </row>
    <row r="1454" spans="1:13" x14ac:dyDescent="0.25">
      <c r="A1454" t="str">
        <f>"00630893"</f>
        <v>00630893</v>
      </c>
      <c r="B1454" t="s">
        <v>3236</v>
      </c>
      <c r="C1454" t="s">
        <v>3237</v>
      </c>
      <c r="D1454" t="s">
        <v>25</v>
      </c>
      <c r="E1454" t="s">
        <v>26</v>
      </c>
      <c r="F1454" t="s">
        <v>17</v>
      </c>
      <c r="G1454" t="str">
        <f>"02"</f>
        <v>02</v>
      </c>
      <c r="H1454" t="str">
        <f>"3  "</f>
        <v xml:space="preserve">3  </v>
      </c>
      <c r="I1454" t="str">
        <f>"2019/02/11"</f>
        <v>2019/02/11</v>
      </c>
      <c r="J1454" t="str">
        <f>"510"</f>
        <v>510</v>
      </c>
      <c r="K1454" t="str">
        <f>"20211106"</f>
        <v>20211106</v>
      </c>
      <c r="L1454" t="s">
        <v>18</v>
      </c>
      <c r="M1454" t="str">
        <f>"20170713"</f>
        <v>20170713</v>
      </c>
    </row>
    <row r="1455" spans="1:13" x14ac:dyDescent="0.25">
      <c r="A1455" t="str">
        <f>"00511629"</f>
        <v>00511629</v>
      </c>
      <c r="B1455" t="s">
        <v>3236</v>
      </c>
      <c r="C1455" t="s">
        <v>3238</v>
      </c>
      <c r="D1455" t="s">
        <v>15</v>
      </c>
      <c r="E1455" t="s">
        <v>26</v>
      </c>
      <c r="F1455" t="s">
        <v>17</v>
      </c>
      <c r="G1455" t="str">
        <f>"02"</f>
        <v>02</v>
      </c>
      <c r="H1455" t="str">
        <f>"3  "</f>
        <v xml:space="preserve">3  </v>
      </c>
      <c r="I1455" t="str">
        <f>"2013/04/12"</f>
        <v>2013/04/12</v>
      </c>
      <c r="J1455" t="str">
        <f>"510"</f>
        <v>510</v>
      </c>
      <c r="K1455" t="str">
        <f>"20290805"</f>
        <v>20290805</v>
      </c>
      <c r="L1455" t="s">
        <v>18</v>
      </c>
      <c r="M1455" t="str">
        <f>"20120603"</f>
        <v>20120603</v>
      </c>
    </row>
    <row r="1456" spans="1:13" x14ac:dyDescent="0.25">
      <c r="A1456" t="str">
        <f>"00255520"</f>
        <v>00255520</v>
      </c>
      <c r="B1456" t="s">
        <v>3240</v>
      </c>
      <c r="C1456" t="s">
        <v>331</v>
      </c>
      <c r="D1456" t="s">
        <v>21</v>
      </c>
      <c r="E1456" t="s">
        <v>16</v>
      </c>
      <c r="F1456" t="s">
        <v>17</v>
      </c>
      <c r="G1456" t="str">
        <f>"02"</f>
        <v>02</v>
      </c>
      <c r="H1456" t="str">
        <f>"3  "</f>
        <v xml:space="preserve">3  </v>
      </c>
      <c r="I1456" t="str">
        <f>"2007/01/09"</f>
        <v>2007/01/09</v>
      </c>
      <c r="J1456" t="str">
        <f>"503"</f>
        <v>503</v>
      </c>
      <c r="K1456" t="str">
        <f>"20240509"</f>
        <v>20240509</v>
      </c>
      <c r="L1456" t="s">
        <v>18</v>
      </c>
      <c r="M1456" t="str">
        <f>"19990412"</f>
        <v>19990412</v>
      </c>
    </row>
    <row r="1457" spans="1:13" x14ac:dyDescent="0.25">
      <c r="A1457" t="str">
        <f>"00168644"</f>
        <v>00168644</v>
      </c>
      <c r="B1457" t="s">
        <v>3242</v>
      </c>
      <c r="C1457" t="s">
        <v>524</v>
      </c>
      <c r="D1457" t="s">
        <v>51</v>
      </c>
      <c r="E1457" t="s">
        <v>16</v>
      </c>
      <c r="F1457" t="s">
        <v>17</v>
      </c>
      <c r="G1457" t="str">
        <f>"02"</f>
        <v>02</v>
      </c>
      <c r="H1457" t="str">
        <f>"7  "</f>
        <v xml:space="preserve">7  </v>
      </c>
      <c r="I1457" t="str">
        <f>"1990/08/28"</f>
        <v>1990/08/28</v>
      </c>
      <c r="J1457" t="str">
        <f>"503"</f>
        <v>503</v>
      </c>
      <c r="K1457" t="s">
        <v>18</v>
      </c>
      <c r="L1457" t="s">
        <v>18</v>
      </c>
      <c r="M1457" t="str">
        <f>"19800425"</f>
        <v>19800425</v>
      </c>
    </row>
    <row r="1458" spans="1:13" x14ac:dyDescent="0.25">
      <c r="A1458" t="str">
        <f>"00570784"</f>
        <v>00570784</v>
      </c>
      <c r="B1458" t="s">
        <v>3242</v>
      </c>
      <c r="C1458" t="s">
        <v>197</v>
      </c>
      <c r="D1458" t="s">
        <v>21</v>
      </c>
      <c r="E1458" t="s">
        <v>26</v>
      </c>
      <c r="F1458" t="s">
        <v>17</v>
      </c>
      <c r="G1458" t="str">
        <f>"02"</f>
        <v>02</v>
      </c>
      <c r="H1458" t="str">
        <f>"3  "</f>
        <v xml:space="preserve">3  </v>
      </c>
      <c r="I1458" t="str">
        <f>"2018/10/01"</f>
        <v>2018/10/01</v>
      </c>
      <c r="J1458" t="str">
        <f>"503"</f>
        <v>503</v>
      </c>
      <c r="K1458" t="str">
        <f>"20201220"</f>
        <v>20201220</v>
      </c>
      <c r="L1458" t="s">
        <v>18</v>
      </c>
      <c r="M1458" t="str">
        <f>"20180409"</f>
        <v>20180409</v>
      </c>
    </row>
    <row r="1459" spans="1:13" x14ac:dyDescent="0.25">
      <c r="A1459" t="str">
        <f>"00744176"</f>
        <v>00744176</v>
      </c>
      <c r="B1459" t="s">
        <v>3242</v>
      </c>
      <c r="C1459" t="s">
        <v>96</v>
      </c>
      <c r="D1459" t="s">
        <v>21</v>
      </c>
      <c r="E1459" t="s">
        <v>16</v>
      </c>
      <c r="F1459" t="s">
        <v>17</v>
      </c>
      <c r="G1459" t="str">
        <f>"02"</f>
        <v>02</v>
      </c>
      <c r="H1459" t="str">
        <f>"3  "</f>
        <v xml:space="preserve">3  </v>
      </c>
      <c r="I1459" t="str">
        <f>"2014/06/16"</f>
        <v>2014/06/16</v>
      </c>
      <c r="J1459" t="str">
        <f>"503"</f>
        <v>503</v>
      </c>
      <c r="K1459" t="str">
        <f>"20301006"</f>
        <v>20301006</v>
      </c>
      <c r="L1459" t="s">
        <v>18</v>
      </c>
      <c r="M1459" t="str">
        <f>"20130528"</f>
        <v>20130528</v>
      </c>
    </row>
    <row r="1460" spans="1:13" x14ac:dyDescent="0.25">
      <c r="A1460" t="str">
        <f>"00228415"</f>
        <v>00228415</v>
      </c>
      <c r="B1460" t="s">
        <v>3242</v>
      </c>
      <c r="C1460" t="s">
        <v>3244</v>
      </c>
      <c r="D1460" t="s">
        <v>40</v>
      </c>
      <c r="E1460" t="s">
        <v>26</v>
      </c>
      <c r="F1460" t="s">
        <v>17</v>
      </c>
      <c r="G1460" t="str">
        <f>"02"</f>
        <v>02</v>
      </c>
      <c r="H1460" t="str">
        <f>"3  "</f>
        <v xml:space="preserve">3  </v>
      </c>
      <c r="I1460" t="str">
        <f>"2001/10/19"</f>
        <v>2001/10/19</v>
      </c>
      <c r="J1460" t="str">
        <f>"503"</f>
        <v>503</v>
      </c>
      <c r="K1460" t="str">
        <f>"20320114"</f>
        <v>20320114</v>
      </c>
      <c r="L1460" t="s">
        <v>18</v>
      </c>
      <c r="M1460" t="str">
        <f>"19990426"</f>
        <v>19990426</v>
      </c>
    </row>
    <row r="1461" spans="1:13" x14ac:dyDescent="0.25">
      <c r="A1461" t="str">
        <f>"00354048"</f>
        <v>00354048</v>
      </c>
      <c r="B1461" t="s">
        <v>3242</v>
      </c>
      <c r="C1461" t="s">
        <v>3245</v>
      </c>
      <c r="D1461" t="s">
        <v>456</v>
      </c>
      <c r="E1461" t="s">
        <v>26</v>
      </c>
      <c r="F1461" t="s">
        <v>17</v>
      </c>
      <c r="G1461" t="str">
        <f>"02"</f>
        <v>02</v>
      </c>
      <c r="H1461" t="str">
        <f>"7  "</f>
        <v xml:space="preserve">7  </v>
      </c>
      <c r="I1461" t="str">
        <f>"2008/09/19"</f>
        <v>2008/09/19</v>
      </c>
      <c r="J1461" t="str">
        <f>"510"</f>
        <v>510</v>
      </c>
      <c r="K1461" t="s">
        <v>18</v>
      </c>
      <c r="L1461" t="s">
        <v>18</v>
      </c>
      <c r="M1461" t="str">
        <f>"20070502"</f>
        <v>20070502</v>
      </c>
    </row>
    <row r="1462" spans="1:13" x14ac:dyDescent="0.25">
      <c r="A1462" t="str">
        <f>"00520385"</f>
        <v>00520385</v>
      </c>
      <c r="B1462" t="s">
        <v>3252</v>
      </c>
      <c r="C1462" t="s">
        <v>3253</v>
      </c>
      <c r="D1462" t="s">
        <v>25</v>
      </c>
      <c r="E1462" t="s">
        <v>16</v>
      </c>
      <c r="F1462" t="s">
        <v>17</v>
      </c>
      <c r="G1462" t="str">
        <f>"02"</f>
        <v>02</v>
      </c>
      <c r="H1462" t="str">
        <f>"3  "</f>
        <v xml:space="preserve">3  </v>
      </c>
      <c r="I1462" t="str">
        <f>"2009/07/27"</f>
        <v>2009/07/27</v>
      </c>
      <c r="J1462" t="str">
        <f>"503"</f>
        <v>503</v>
      </c>
      <c r="K1462" t="str">
        <f>"20540123"</f>
        <v>20540123</v>
      </c>
      <c r="L1462" t="s">
        <v>18</v>
      </c>
      <c r="M1462" t="str">
        <f>"20040107"</f>
        <v>20040107</v>
      </c>
    </row>
    <row r="1463" spans="1:13" x14ac:dyDescent="0.25">
      <c r="A1463" t="str">
        <f>"00184028"</f>
        <v>00184028</v>
      </c>
      <c r="B1463" t="s">
        <v>3255</v>
      </c>
      <c r="C1463" t="s">
        <v>22</v>
      </c>
      <c r="D1463" t="s">
        <v>26</v>
      </c>
      <c r="E1463" t="s">
        <v>26</v>
      </c>
      <c r="F1463" t="s">
        <v>17</v>
      </c>
      <c r="G1463" t="str">
        <f>"02"</f>
        <v>02</v>
      </c>
      <c r="H1463" t="str">
        <f>"3  "</f>
        <v xml:space="preserve">3  </v>
      </c>
      <c r="I1463" t="str">
        <f>"2019/03/15"</f>
        <v>2019/03/15</v>
      </c>
      <c r="J1463" t="str">
        <f>"503"</f>
        <v>503</v>
      </c>
      <c r="K1463" t="str">
        <f>"20240822"</f>
        <v>20240822</v>
      </c>
      <c r="L1463" t="s">
        <v>18</v>
      </c>
      <c r="M1463" t="str">
        <f>"20141211"</f>
        <v>20141211</v>
      </c>
    </row>
    <row r="1464" spans="1:13" x14ac:dyDescent="0.25">
      <c r="A1464" t="str">
        <f>"00173951"</f>
        <v>00173951</v>
      </c>
      <c r="B1464" t="s">
        <v>3257</v>
      </c>
      <c r="C1464" t="s">
        <v>288</v>
      </c>
      <c r="D1464" t="s">
        <v>15</v>
      </c>
      <c r="E1464" t="s">
        <v>16</v>
      </c>
      <c r="F1464" t="s">
        <v>17</v>
      </c>
      <c r="G1464" t="str">
        <f>"02"</f>
        <v>02</v>
      </c>
      <c r="H1464" t="str">
        <f>"3  "</f>
        <v xml:space="preserve">3  </v>
      </c>
      <c r="I1464" t="str">
        <f>"2011/01/27"</f>
        <v>2011/01/27</v>
      </c>
      <c r="J1464" t="str">
        <f>"110"</f>
        <v>110</v>
      </c>
      <c r="K1464" t="str">
        <f>"21161120"</f>
        <v>21161120</v>
      </c>
      <c r="L1464" t="s">
        <v>18</v>
      </c>
      <c r="M1464" t="str">
        <f>"20091104"</f>
        <v>20091104</v>
      </c>
    </row>
    <row r="1465" spans="1:13" x14ac:dyDescent="0.25">
      <c r="A1465" t="str">
        <f>"00470651"</f>
        <v>00470651</v>
      </c>
      <c r="B1465" t="s">
        <v>3261</v>
      </c>
      <c r="C1465" t="s">
        <v>72</v>
      </c>
      <c r="D1465" t="s">
        <v>15</v>
      </c>
      <c r="E1465" t="s">
        <v>26</v>
      </c>
      <c r="F1465" t="s">
        <v>17</v>
      </c>
      <c r="G1465" t="str">
        <f>"02"</f>
        <v>02</v>
      </c>
      <c r="H1465" t="str">
        <f>"3  "</f>
        <v xml:space="preserve">3  </v>
      </c>
      <c r="I1465" t="str">
        <f>"2008/01/10"</f>
        <v>2008/01/10</v>
      </c>
      <c r="J1465" t="str">
        <f>"510"</f>
        <v>510</v>
      </c>
      <c r="K1465" t="str">
        <f>"20340821"</f>
        <v>20340821</v>
      </c>
      <c r="L1465" t="s">
        <v>18</v>
      </c>
      <c r="M1465" t="str">
        <f>"20050321"</f>
        <v>20050321</v>
      </c>
    </row>
    <row r="1466" spans="1:13" x14ac:dyDescent="0.25">
      <c r="A1466" t="str">
        <f>"00302387"</f>
        <v>00302387</v>
      </c>
      <c r="B1466" t="s">
        <v>3261</v>
      </c>
      <c r="C1466" t="s">
        <v>3181</v>
      </c>
      <c r="D1466" t="s">
        <v>61</v>
      </c>
      <c r="E1466" t="s">
        <v>26</v>
      </c>
      <c r="F1466" t="s">
        <v>17</v>
      </c>
      <c r="G1466" t="str">
        <f>"02"</f>
        <v>02</v>
      </c>
      <c r="H1466" t="str">
        <f>"7  "</f>
        <v xml:space="preserve">7  </v>
      </c>
      <c r="I1466" t="str">
        <f>"2012/01/05"</f>
        <v>2012/01/05</v>
      </c>
      <c r="J1466" t="str">
        <f>"510"</f>
        <v>510</v>
      </c>
      <c r="K1466" t="s">
        <v>18</v>
      </c>
      <c r="L1466" t="s">
        <v>18</v>
      </c>
      <c r="M1466" t="str">
        <f>"20100329"</f>
        <v>20100329</v>
      </c>
    </row>
    <row r="1467" spans="1:13" x14ac:dyDescent="0.25">
      <c r="A1467" t="str">
        <f>"00469814"</f>
        <v>00469814</v>
      </c>
      <c r="B1467" t="s">
        <v>3261</v>
      </c>
      <c r="C1467" t="s">
        <v>267</v>
      </c>
      <c r="D1467" t="s">
        <v>25</v>
      </c>
      <c r="E1467" t="s">
        <v>26</v>
      </c>
      <c r="F1467" t="s">
        <v>17</v>
      </c>
      <c r="G1467" t="str">
        <f>"02"</f>
        <v>02</v>
      </c>
      <c r="H1467" t="str">
        <f>"3  "</f>
        <v xml:space="preserve">3  </v>
      </c>
      <c r="I1467" t="str">
        <f>"2019/04/26"</f>
        <v>2019/04/26</v>
      </c>
      <c r="J1467" t="str">
        <f>"510"</f>
        <v>510</v>
      </c>
      <c r="K1467" t="str">
        <f>"20210624"</f>
        <v>20210624</v>
      </c>
      <c r="L1467" t="s">
        <v>18</v>
      </c>
      <c r="M1467" t="str">
        <f>"20181113"</f>
        <v>20181113</v>
      </c>
    </row>
    <row r="1468" spans="1:13" x14ac:dyDescent="0.25">
      <c r="A1468" t="str">
        <f>"00212232"</f>
        <v>00212232</v>
      </c>
      <c r="B1468" t="s">
        <v>3263</v>
      </c>
      <c r="C1468" t="s">
        <v>333</v>
      </c>
      <c r="D1468" t="s">
        <v>47</v>
      </c>
      <c r="E1468" t="s">
        <v>26</v>
      </c>
      <c r="F1468" t="s">
        <v>17</v>
      </c>
      <c r="G1468" t="str">
        <f>"02"</f>
        <v>02</v>
      </c>
      <c r="H1468" t="str">
        <f>"7  "</f>
        <v xml:space="preserve">7  </v>
      </c>
      <c r="I1468" t="str">
        <f>"2014/06/16"</f>
        <v>2014/06/16</v>
      </c>
      <c r="J1468" t="str">
        <f>"503"</f>
        <v>503</v>
      </c>
      <c r="K1468" t="s">
        <v>18</v>
      </c>
      <c r="L1468" t="str">
        <f>"20160131"</f>
        <v>20160131</v>
      </c>
      <c r="M1468" t="str">
        <f>"19880802"</f>
        <v>19880802</v>
      </c>
    </row>
    <row r="1469" spans="1:13" x14ac:dyDescent="0.25">
      <c r="A1469" t="str">
        <f>"00082937"</f>
        <v>00082937</v>
      </c>
      <c r="B1469" t="s">
        <v>3265</v>
      </c>
      <c r="C1469" t="s">
        <v>342</v>
      </c>
      <c r="D1469" t="s">
        <v>26</v>
      </c>
      <c r="E1469" t="s">
        <v>16</v>
      </c>
      <c r="F1469" t="s">
        <v>17</v>
      </c>
      <c r="G1469" t="str">
        <f>"02"</f>
        <v>02</v>
      </c>
      <c r="H1469" t="str">
        <f>"3  "</f>
        <v xml:space="preserve">3  </v>
      </c>
      <c r="I1469" t="str">
        <f>"2008/01/18"</f>
        <v>2008/01/18</v>
      </c>
      <c r="J1469" t="str">
        <f>"503"</f>
        <v>503</v>
      </c>
      <c r="K1469" t="str">
        <f>"21030601"</f>
        <v>21030601</v>
      </c>
      <c r="L1469" t="s">
        <v>18</v>
      </c>
      <c r="M1469" t="str">
        <f>"20060316"</f>
        <v>20060316</v>
      </c>
    </row>
    <row r="1470" spans="1:13" x14ac:dyDescent="0.25">
      <c r="A1470" t="str">
        <f>"00322923"</f>
        <v>00322923</v>
      </c>
      <c r="B1470" t="s">
        <v>3270</v>
      </c>
      <c r="C1470" t="s">
        <v>849</v>
      </c>
      <c r="D1470" t="s">
        <v>80</v>
      </c>
      <c r="E1470" t="s">
        <v>26</v>
      </c>
      <c r="F1470" t="s">
        <v>17</v>
      </c>
      <c r="G1470" t="str">
        <f>"02"</f>
        <v>02</v>
      </c>
      <c r="H1470" t="str">
        <f>"3  "</f>
        <v xml:space="preserve">3  </v>
      </c>
      <c r="I1470" t="str">
        <f>"2015/01/21"</f>
        <v>2015/01/21</v>
      </c>
      <c r="J1470" t="str">
        <f>"110"</f>
        <v>110</v>
      </c>
      <c r="K1470" t="str">
        <f>"21170330"</f>
        <v>21170330</v>
      </c>
      <c r="L1470" t="s">
        <v>18</v>
      </c>
      <c r="M1470" t="str">
        <f>"20131209"</f>
        <v>20131209</v>
      </c>
    </row>
    <row r="1471" spans="1:13" x14ac:dyDescent="0.25">
      <c r="A1471" t="str">
        <f>"00428395"</f>
        <v>00428395</v>
      </c>
      <c r="B1471" t="s">
        <v>3271</v>
      </c>
      <c r="C1471" t="s">
        <v>626</v>
      </c>
      <c r="D1471" t="s">
        <v>16</v>
      </c>
      <c r="E1471" t="s">
        <v>26</v>
      </c>
      <c r="F1471" t="s">
        <v>17</v>
      </c>
      <c r="G1471" t="str">
        <f>"02"</f>
        <v>02</v>
      </c>
      <c r="H1471" t="str">
        <f>"3  "</f>
        <v xml:space="preserve">3  </v>
      </c>
      <c r="I1471" t="str">
        <f>"2019/07/15"</f>
        <v>2019/07/15</v>
      </c>
      <c r="J1471" t="str">
        <f>"110"</f>
        <v>110</v>
      </c>
      <c r="K1471" t="str">
        <f>"20231213"</f>
        <v>20231213</v>
      </c>
      <c r="L1471" t="s">
        <v>18</v>
      </c>
      <c r="M1471" t="str">
        <f>"20190704"</f>
        <v>20190704</v>
      </c>
    </row>
    <row r="1472" spans="1:13" x14ac:dyDescent="0.25">
      <c r="A1472" t="str">
        <f>"00216988"</f>
        <v>00216988</v>
      </c>
      <c r="B1472" t="s">
        <v>3273</v>
      </c>
      <c r="C1472" t="s">
        <v>246</v>
      </c>
      <c r="D1472" t="s">
        <v>215</v>
      </c>
      <c r="E1472" t="s">
        <v>16</v>
      </c>
      <c r="F1472" t="s">
        <v>17</v>
      </c>
      <c r="G1472" t="str">
        <f>"02"</f>
        <v>02</v>
      </c>
      <c r="H1472" t="str">
        <f>"7  "</f>
        <v xml:space="preserve">7  </v>
      </c>
      <c r="I1472" t="str">
        <f>"2008/07/11"</f>
        <v>2008/07/11</v>
      </c>
      <c r="J1472" t="str">
        <f>"510"</f>
        <v>510</v>
      </c>
      <c r="K1472" t="s">
        <v>18</v>
      </c>
      <c r="L1472" t="s">
        <v>18</v>
      </c>
      <c r="M1472" t="str">
        <f>"20070619"</f>
        <v>20070619</v>
      </c>
    </row>
    <row r="1473" spans="1:13" x14ac:dyDescent="0.25">
      <c r="A1473" t="str">
        <f>"00836045"</f>
        <v>00836045</v>
      </c>
      <c r="B1473" t="s">
        <v>3277</v>
      </c>
      <c r="C1473" t="s">
        <v>244</v>
      </c>
      <c r="D1473" t="s">
        <v>25</v>
      </c>
      <c r="E1473" t="s">
        <v>26</v>
      </c>
      <c r="F1473" t="s">
        <v>17</v>
      </c>
      <c r="G1473" t="str">
        <f>"02"</f>
        <v>02</v>
      </c>
      <c r="H1473" t="str">
        <f>"3  "</f>
        <v xml:space="preserve">3  </v>
      </c>
      <c r="I1473" t="str">
        <f>"2019/02/22"</f>
        <v>2019/02/22</v>
      </c>
      <c r="J1473" t="str">
        <f>"510"</f>
        <v>510</v>
      </c>
      <c r="K1473" t="str">
        <f>"20310211"</f>
        <v>20310211</v>
      </c>
      <c r="L1473" t="s">
        <v>18</v>
      </c>
      <c r="M1473" t="str">
        <f>"20170725"</f>
        <v>20170725</v>
      </c>
    </row>
    <row r="1474" spans="1:13" x14ac:dyDescent="0.25">
      <c r="A1474" t="str">
        <f>"00193096"</f>
        <v>00193096</v>
      </c>
      <c r="B1474" t="s">
        <v>3277</v>
      </c>
      <c r="C1474" t="s">
        <v>148</v>
      </c>
      <c r="D1474" t="s">
        <v>21</v>
      </c>
      <c r="E1474" t="s">
        <v>26</v>
      </c>
      <c r="F1474" t="s">
        <v>17</v>
      </c>
      <c r="G1474" t="str">
        <f>"02"</f>
        <v>02</v>
      </c>
      <c r="H1474" t="str">
        <f>"7  "</f>
        <v xml:space="preserve">7  </v>
      </c>
      <c r="I1474" t="str">
        <f>"2010/02/05"</f>
        <v>2010/02/05</v>
      </c>
      <c r="J1474" t="str">
        <f>"510"</f>
        <v>510</v>
      </c>
      <c r="K1474" t="s">
        <v>18</v>
      </c>
      <c r="L1474" t="s">
        <v>18</v>
      </c>
      <c r="M1474" t="str">
        <f>"20090118"</f>
        <v>20090118</v>
      </c>
    </row>
    <row r="1475" spans="1:13" x14ac:dyDescent="0.25">
      <c r="A1475" t="str">
        <f>"00152961"</f>
        <v>00152961</v>
      </c>
      <c r="B1475" t="s">
        <v>3280</v>
      </c>
      <c r="C1475" t="s">
        <v>333</v>
      </c>
      <c r="D1475" t="s">
        <v>456</v>
      </c>
      <c r="E1475" t="s">
        <v>16</v>
      </c>
      <c r="F1475" t="s">
        <v>17</v>
      </c>
      <c r="G1475" t="str">
        <f>"02"</f>
        <v>02</v>
      </c>
      <c r="H1475" t="str">
        <f>"3  "</f>
        <v xml:space="preserve">3  </v>
      </c>
      <c r="I1475" t="str">
        <f>"2006/03/30"</f>
        <v>2006/03/30</v>
      </c>
      <c r="J1475" t="str">
        <f>"110"</f>
        <v>110</v>
      </c>
      <c r="K1475" t="str">
        <f>"20461215"</f>
        <v>20461215</v>
      </c>
      <c r="L1475" t="s">
        <v>18</v>
      </c>
      <c r="M1475" t="str">
        <f>"20051109"</f>
        <v>20051109</v>
      </c>
    </row>
    <row r="1476" spans="1:13" x14ac:dyDescent="0.25">
      <c r="A1476" t="str">
        <f>"00463547"</f>
        <v>00463547</v>
      </c>
      <c r="B1476" t="s">
        <v>3281</v>
      </c>
      <c r="C1476" t="s">
        <v>1339</v>
      </c>
      <c r="D1476" t="s">
        <v>182</v>
      </c>
      <c r="E1476" t="s">
        <v>26</v>
      </c>
      <c r="F1476" t="s">
        <v>17</v>
      </c>
      <c r="G1476" t="str">
        <f>"02"</f>
        <v>02</v>
      </c>
      <c r="H1476" t="str">
        <f>"3  "</f>
        <v xml:space="preserve">3  </v>
      </c>
      <c r="I1476" t="str">
        <f>"2016/03/30"</f>
        <v>2016/03/30</v>
      </c>
      <c r="J1476" t="str">
        <f>"510"</f>
        <v>510</v>
      </c>
      <c r="K1476" t="str">
        <f>"20350220"</f>
        <v>20350220</v>
      </c>
      <c r="L1476" t="s">
        <v>18</v>
      </c>
      <c r="M1476" t="str">
        <f>"20140706"</f>
        <v>20140706</v>
      </c>
    </row>
    <row r="1477" spans="1:13" x14ac:dyDescent="0.25">
      <c r="A1477" t="str">
        <f>"00854382"</f>
        <v>00854382</v>
      </c>
      <c r="B1477" t="s">
        <v>3283</v>
      </c>
      <c r="C1477" t="s">
        <v>3284</v>
      </c>
      <c r="D1477" t="s">
        <v>25</v>
      </c>
      <c r="E1477" t="s">
        <v>16</v>
      </c>
      <c r="F1477" t="s">
        <v>17</v>
      </c>
      <c r="G1477" t="str">
        <f>"02"</f>
        <v>02</v>
      </c>
      <c r="H1477" t="str">
        <f>"7  "</f>
        <v xml:space="preserve">7  </v>
      </c>
      <c r="I1477" t="str">
        <f>"2019/04/01"</f>
        <v>2019/04/01</v>
      </c>
      <c r="J1477" t="str">
        <f>"510"</f>
        <v>510</v>
      </c>
      <c r="K1477" t="s">
        <v>18</v>
      </c>
      <c r="L1477" t="s">
        <v>18</v>
      </c>
      <c r="M1477" t="str">
        <f>"20170601"</f>
        <v>20170601</v>
      </c>
    </row>
    <row r="1478" spans="1:13" x14ac:dyDescent="0.25">
      <c r="A1478" t="str">
        <f>"00854625"</f>
        <v>00854625</v>
      </c>
      <c r="B1478" t="s">
        <v>3288</v>
      </c>
      <c r="C1478" t="s">
        <v>3289</v>
      </c>
      <c r="D1478" t="s">
        <v>215</v>
      </c>
      <c r="E1478" t="s">
        <v>26</v>
      </c>
      <c r="F1478" t="s">
        <v>17</v>
      </c>
      <c r="G1478" t="str">
        <f>"02"</f>
        <v>02</v>
      </c>
      <c r="H1478" t="str">
        <f>"3  "</f>
        <v xml:space="preserve">3  </v>
      </c>
      <c r="I1478" t="str">
        <f>"2018/09/04"</f>
        <v>2018/09/04</v>
      </c>
      <c r="J1478" t="str">
        <f>"503"</f>
        <v>503</v>
      </c>
      <c r="K1478" t="str">
        <f>"20220803"</f>
        <v>20220803</v>
      </c>
      <c r="L1478" t="s">
        <v>18</v>
      </c>
      <c r="M1478" t="str">
        <f>"20180326"</f>
        <v>20180326</v>
      </c>
    </row>
    <row r="1479" spans="1:13" x14ac:dyDescent="0.25">
      <c r="A1479" t="str">
        <f>"00603761"</f>
        <v>00603761</v>
      </c>
      <c r="B1479" t="s">
        <v>3292</v>
      </c>
      <c r="C1479" t="s">
        <v>3293</v>
      </c>
      <c r="D1479" t="s">
        <v>25</v>
      </c>
      <c r="E1479" t="s">
        <v>16</v>
      </c>
      <c r="F1479" t="s">
        <v>17</v>
      </c>
      <c r="G1479" t="str">
        <f>"02"</f>
        <v>02</v>
      </c>
      <c r="H1479" t="str">
        <f>"7  "</f>
        <v xml:space="preserve">7  </v>
      </c>
      <c r="I1479" t="str">
        <f>"2009/10/08"</f>
        <v>2009/10/08</v>
      </c>
      <c r="J1479" t="str">
        <f>"510"</f>
        <v>510</v>
      </c>
      <c r="K1479" t="s">
        <v>18</v>
      </c>
      <c r="L1479" t="s">
        <v>18</v>
      </c>
      <c r="M1479" t="str">
        <f>"20071016"</f>
        <v>20071016</v>
      </c>
    </row>
    <row r="1480" spans="1:13" x14ac:dyDescent="0.25">
      <c r="A1480" t="str">
        <f>"00250165"</f>
        <v>00250165</v>
      </c>
      <c r="B1480" t="s">
        <v>3294</v>
      </c>
      <c r="C1480" t="s">
        <v>2703</v>
      </c>
      <c r="D1480" t="s">
        <v>25</v>
      </c>
      <c r="E1480" t="s">
        <v>26</v>
      </c>
      <c r="F1480" t="s">
        <v>17</v>
      </c>
      <c r="G1480" t="str">
        <f>"02"</f>
        <v>02</v>
      </c>
      <c r="H1480" t="str">
        <f>"3  "</f>
        <v xml:space="preserve">3  </v>
      </c>
      <c r="I1480" t="str">
        <f>"2016/05/09"</f>
        <v>2016/05/09</v>
      </c>
      <c r="J1480" t="str">
        <f>"110"</f>
        <v>110</v>
      </c>
      <c r="K1480" t="str">
        <f>"20210420"</f>
        <v>20210420</v>
      </c>
      <c r="L1480" t="s">
        <v>18</v>
      </c>
      <c r="M1480" t="str">
        <f>"20140519"</f>
        <v>20140519</v>
      </c>
    </row>
    <row r="1481" spans="1:13" x14ac:dyDescent="0.25">
      <c r="A1481" t="str">
        <f>"00479070"</f>
        <v>00479070</v>
      </c>
      <c r="B1481" t="s">
        <v>3296</v>
      </c>
      <c r="C1481" t="s">
        <v>66</v>
      </c>
      <c r="D1481" t="s">
        <v>15</v>
      </c>
      <c r="E1481" t="s">
        <v>16</v>
      </c>
      <c r="F1481" t="s">
        <v>17</v>
      </c>
      <c r="G1481" t="str">
        <f>"02"</f>
        <v>02</v>
      </c>
      <c r="H1481" t="str">
        <f>"7  "</f>
        <v xml:space="preserve">7  </v>
      </c>
      <c r="I1481" t="str">
        <f>"2003/09/17"</f>
        <v>2003/09/17</v>
      </c>
      <c r="J1481" t="str">
        <f>"510"</f>
        <v>510</v>
      </c>
      <c r="K1481" t="s">
        <v>18</v>
      </c>
      <c r="L1481" t="s">
        <v>18</v>
      </c>
      <c r="M1481" t="str">
        <f>"20020305"</f>
        <v>20020305</v>
      </c>
    </row>
    <row r="1482" spans="1:13" x14ac:dyDescent="0.25">
      <c r="A1482" t="str">
        <f>"00211245"</f>
        <v>00211245</v>
      </c>
      <c r="B1482" t="s">
        <v>3297</v>
      </c>
      <c r="C1482" t="s">
        <v>342</v>
      </c>
      <c r="D1482" t="s">
        <v>53</v>
      </c>
      <c r="E1482" t="s">
        <v>16</v>
      </c>
      <c r="F1482" t="s">
        <v>17</v>
      </c>
      <c r="G1482" t="str">
        <f>"02"</f>
        <v>02</v>
      </c>
      <c r="H1482" t="str">
        <f>"7  "</f>
        <v xml:space="preserve">7  </v>
      </c>
      <c r="I1482" t="str">
        <f>"2012/09/28"</f>
        <v>2012/09/28</v>
      </c>
      <c r="J1482" t="str">
        <f>"110"</f>
        <v>110</v>
      </c>
      <c r="K1482" t="s">
        <v>18</v>
      </c>
      <c r="L1482" t="s">
        <v>18</v>
      </c>
      <c r="M1482" t="str">
        <f>"20110706"</f>
        <v>20110706</v>
      </c>
    </row>
    <row r="1483" spans="1:13" x14ac:dyDescent="0.25">
      <c r="A1483" t="str">
        <f>"00201360"</f>
        <v>00201360</v>
      </c>
      <c r="B1483" t="s">
        <v>3301</v>
      </c>
      <c r="C1483" t="s">
        <v>159</v>
      </c>
      <c r="D1483" t="s">
        <v>51</v>
      </c>
      <c r="E1483" t="s">
        <v>26</v>
      </c>
      <c r="F1483" t="s">
        <v>17</v>
      </c>
      <c r="G1483" t="str">
        <f>"02"</f>
        <v>02</v>
      </c>
      <c r="H1483" t="str">
        <f>"3  "</f>
        <v xml:space="preserve">3  </v>
      </c>
      <c r="I1483" t="str">
        <f>"1995/01/12"</f>
        <v>1995/01/12</v>
      </c>
      <c r="J1483" t="str">
        <f>"110"</f>
        <v>110</v>
      </c>
      <c r="K1483" t="str">
        <f>"20800120"</f>
        <v>20800120</v>
      </c>
      <c r="L1483" t="s">
        <v>18</v>
      </c>
      <c r="M1483" t="str">
        <f>"19930615"</f>
        <v>19930615</v>
      </c>
    </row>
    <row r="1484" spans="1:13" x14ac:dyDescent="0.25">
      <c r="A1484" t="str">
        <f>"00745188"</f>
        <v>00745188</v>
      </c>
      <c r="B1484" t="s">
        <v>3304</v>
      </c>
      <c r="C1484" t="s">
        <v>3305</v>
      </c>
      <c r="D1484" t="s">
        <v>25</v>
      </c>
      <c r="E1484" t="s">
        <v>16</v>
      </c>
      <c r="F1484" t="s">
        <v>17</v>
      </c>
      <c r="G1484" t="str">
        <f>"02"</f>
        <v>02</v>
      </c>
      <c r="H1484" t="str">
        <f>"3  "</f>
        <v xml:space="preserve">3  </v>
      </c>
      <c r="I1484" t="str">
        <f>"2020/08/05"</f>
        <v>2020/08/05</v>
      </c>
      <c r="J1484" t="str">
        <f>"533"</f>
        <v>533</v>
      </c>
      <c r="K1484" t="str">
        <f>"20300606"</f>
        <v>20300606</v>
      </c>
      <c r="L1484" t="s">
        <v>18</v>
      </c>
      <c r="M1484" t="str">
        <f>"20140719"</f>
        <v>20140719</v>
      </c>
    </row>
    <row r="1485" spans="1:13" x14ac:dyDescent="0.25">
      <c r="A1485" t="str">
        <f>"00465197"</f>
        <v>00465197</v>
      </c>
      <c r="B1485" t="s">
        <v>3304</v>
      </c>
      <c r="C1485" t="s">
        <v>3224</v>
      </c>
      <c r="D1485" t="s">
        <v>182</v>
      </c>
      <c r="E1485" t="s">
        <v>16</v>
      </c>
      <c r="F1485" t="s">
        <v>17</v>
      </c>
      <c r="G1485" t="str">
        <f>"02"</f>
        <v>02</v>
      </c>
      <c r="H1485" t="str">
        <f>"3  "</f>
        <v xml:space="preserve">3  </v>
      </c>
      <c r="I1485" t="str">
        <f>"2015/08/14"</f>
        <v>2015/08/14</v>
      </c>
      <c r="J1485" t="str">
        <f>"510"</f>
        <v>510</v>
      </c>
      <c r="K1485" t="str">
        <f>"20210901"</f>
        <v>20210901</v>
      </c>
      <c r="L1485" t="s">
        <v>18</v>
      </c>
      <c r="M1485" t="str">
        <f>"20140122"</f>
        <v>20140122</v>
      </c>
    </row>
    <row r="1486" spans="1:13" x14ac:dyDescent="0.25">
      <c r="A1486" t="str">
        <f>"00214717"</f>
        <v>00214717</v>
      </c>
      <c r="B1486" t="s">
        <v>3304</v>
      </c>
      <c r="C1486" t="s">
        <v>677</v>
      </c>
      <c r="D1486" t="s">
        <v>51</v>
      </c>
      <c r="E1486" t="s">
        <v>16</v>
      </c>
      <c r="F1486" t="s">
        <v>17</v>
      </c>
      <c r="G1486" t="str">
        <f>"02"</f>
        <v>02</v>
      </c>
      <c r="H1486" t="str">
        <f>"7  "</f>
        <v xml:space="preserve">7  </v>
      </c>
      <c r="I1486" t="str">
        <f>"2001/01/24"</f>
        <v>2001/01/24</v>
      </c>
      <c r="J1486" t="str">
        <f>"533"</f>
        <v>533</v>
      </c>
      <c r="K1486" t="s">
        <v>18</v>
      </c>
      <c r="L1486" t="str">
        <f>"20190428"</f>
        <v>20190428</v>
      </c>
      <c r="M1486" t="str">
        <f>"19860130"</f>
        <v>19860130</v>
      </c>
    </row>
    <row r="1487" spans="1:13" x14ac:dyDescent="0.25">
      <c r="A1487" t="str">
        <f>"00877132"</f>
        <v>00877132</v>
      </c>
      <c r="B1487" t="s">
        <v>3307</v>
      </c>
      <c r="C1487" t="s">
        <v>1957</v>
      </c>
      <c r="D1487" t="s">
        <v>37</v>
      </c>
      <c r="E1487" t="s">
        <v>26</v>
      </c>
      <c r="F1487" t="s">
        <v>17</v>
      </c>
      <c r="G1487" t="str">
        <f>"02"</f>
        <v>02</v>
      </c>
      <c r="H1487" t="str">
        <f>"3  "</f>
        <v xml:space="preserve">3  </v>
      </c>
      <c r="I1487" t="str">
        <f>"2020/08/11"</f>
        <v>2020/08/11</v>
      </c>
      <c r="J1487" t="str">
        <f>"510"</f>
        <v>510</v>
      </c>
      <c r="K1487" t="str">
        <f>"20230115"</f>
        <v>20230115</v>
      </c>
      <c r="L1487" t="s">
        <v>18</v>
      </c>
      <c r="M1487" t="str">
        <f>"20190529"</f>
        <v>20190529</v>
      </c>
    </row>
    <row r="1488" spans="1:13" x14ac:dyDescent="0.25">
      <c r="A1488" t="str">
        <f>"00160428"</f>
        <v>00160428</v>
      </c>
      <c r="B1488" t="s">
        <v>3307</v>
      </c>
      <c r="C1488" t="s">
        <v>118</v>
      </c>
      <c r="D1488" t="s">
        <v>26</v>
      </c>
      <c r="E1488" t="s">
        <v>26</v>
      </c>
      <c r="F1488" t="s">
        <v>17</v>
      </c>
      <c r="G1488" t="str">
        <f>"02"</f>
        <v>02</v>
      </c>
      <c r="H1488" t="str">
        <f>"3  "</f>
        <v xml:space="preserve">3  </v>
      </c>
      <c r="I1488" t="str">
        <f>"2017/10/13"</f>
        <v>2017/10/13</v>
      </c>
      <c r="J1488" t="str">
        <f>"503"</f>
        <v>503</v>
      </c>
      <c r="K1488" t="str">
        <f>"20270911"</f>
        <v>20270911</v>
      </c>
      <c r="L1488" t="s">
        <v>18</v>
      </c>
      <c r="M1488" t="str">
        <f>"19931224"</f>
        <v>19931224</v>
      </c>
    </row>
    <row r="1489" spans="1:13" x14ac:dyDescent="0.25">
      <c r="A1489" t="str">
        <f>"00210123"</f>
        <v>00210123</v>
      </c>
      <c r="B1489" t="s">
        <v>3307</v>
      </c>
      <c r="C1489" t="s">
        <v>1854</v>
      </c>
      <c r="D1489" t="s">
        <v>215</v>
      </c>
      <c r="E1489" t="s">
        <v>26</v>
      </c>
      <c r="F1489" t="s">
        <v>17</v>
      </c>
      <c r="G1489" t="str">
        <f>"02"</f>
        <v>02</v>
      </c>
      <c r="H1489" t="str">
        <f>"7  "</f>
        <v xml:space="preserve">7  </v>
      </c>
      <c r="I1489" t="str">
        <f>"2006/07/10"</f>
        <v>2006/07/10</v>
      </c>
      <c r="J1489" t="str">
        <f>"531"</f>
        <v>531</v>
      </c>
      <c r="K1489" t="s">
        <v>18</v>
      </c>
      <c r="L1489" t="str">
        <f>"20210402"</f>
        <v>20210402</v>
      </c>
      <c r="M1489" t="str">
        <f>"19850803"</f>
        <v>19850803</v>
      </c>
    </row>
    <row r="1490" spans="1:13" x14ac:dyDescent="0.25">
      <c r="A1490" t="str">
        <f>"00291466"</f>
        <v>00291466</v>
      </c>
      <c r="B1490" t="s">
        <v>3310</v>
      </c>
      <c r="C1490" t="s">
        <v>1206</v>
      </c>
      <c r="D1490" t="s">
        <v>51</v>
      </c>
      <c r="E1490" t="s">
        <v>26</v>
      </c>
      <c r="F1490" t="s">
        <v>17</v>
      </c>
      <c r="G1490" t="str">
        <f>"02"</f>
        <v>02</v>
      </c>
      <c r="H1490" t="str">
        <f>"3  "</f>
        <v xml:space="preserve">3  </v>
      </c>
      <c r="I1490" t="str">
        <f>"2020/07/21"</f>
        <v>2020/07/21</v>
      </c>
      <c r="J1490" t="str">
        <f>"533"</f>
        <v>533</v>
      </c>
      <c r="K1490" t="str">
        <f>"20260623"</f>
        <v>20260623</v>
      </c>
      <c r="L1490" t="s">
        <v>18</v>
      </c>
      <c r="M1490" t="str">
        <f>"20170713"</f>
        <v>20170713</v>
      </c>
    </row>
    <row r="1491" spans="1:13" x14ac:dyDescent="0.25">
      <c r="A1491" t="str">
        <f>"00525477"</f>
        <v>00525477</v>
      </c>
      <c r="B1491" t="s">
        <v>3314</v>
      </c>
      <c r="C1491" t="s">
        <v>140</v>
      </c>
      <c r="D1491" t="s">
        <v>26</v>
      </c>
      <c r="E1491" t="s">
        <v>16</v>
      </c>
      <c r="F1491" t="s">
        <v>17</v>
      </c>
      <c r="G1491" t="str">
        <f>"02"</f>
        <v>02</v>
      </c>
      <c r="H1491" t="str">
        <f>"1  "</f>
        <v xml:space="preserve">1  </v>
      </c>
      <c r="I1491" t="str">
        <f>"2020/08/10"</f>
        <v>2020/08/10</v>
      </c>
      <c r="J1491" t="str">
        <f>"110"</f>
        <v>110</v>
      </c>
      <c r="K1491" t="str">
        <f>"20210122"</f>
        <v>20210122</v>
      </c>
      <c r="L1491" t="s">
        <v>18</v>
      </c>
      <c r="M1491" t="str">
        <f>"20200810"</f>
        <v>20200810</v>
      </c>
    </row>
    <row r="1492" spans="1:13" x14ac:dyDescent="0.25">
      <c r="A1492" t="str">
        <f>"00240930"</f>
        <v>00240930</v>
      </c>
      <c r="B1492" t="s">
        <v>3316</v>
      </c>
      <c r="C1492" t="s">
        <v>258</v>
      </c>
      <c r="D1492" t="s">
        <v>25</v>
      </c>
      <c r="E1492" t="s">
        <v>16</v>
      </c>
      <c r="F1492" t="s">
        <v>17</v>
      </c>
      <c r="G1492" t="str">
        <f>"02"</f>
        <v>02</v>
      </c>
      <c r="H1492" t="str">
        <f>"7  "</f>
        <v xml:space="preserve">7  </v>
      </c>
      <c r="I1492" t="str">
        <f>"2001/01/24"</f>
        <v>2001/01/24</v>
      </c>
      <c r="J1492" t="str">
        <f>"533"</f>
        <v>533</v>
      </c>
      <c r="K1492" t="s">
        <v>18</v>
      </c>
      <c r="L1492" t="str">
        <f>"20280124"</f>
        <v>20280124</v>
      </c>
      <c r="M1492" t="str">
        <f>"19890130"</f>
        <v>19890130</v>
      </c>
    </row>
    <row r="1493" spans="1:13" x14ac:dyDescent="0.25">
      <c r="A1493" t="str">
        <f>"00174808"</f>
        <v>00174808</v>
      </c>
      <c r="B1493" t="s">
        <v>3318</v>
      </c>
      <c r="C1493" t="s">
        <v>74</v>
      </c>
      <c r="D1493" t="s">
        <v>21</v>
      </c>
      <c r="E1493" t="s">
        <v>16</v>
      </c>
      <c r="F1493" t="s">
        <v>17</v>
      </c>
      <c r="G1493" t="str">
        <f>"02"</f>
        <v>02</v>
      </c>
      <c r="H1493" t="str">
        <f>"3  "</f>
        <v xml:space="preserve">3  </v>
      </c>
      <c r="I1493" t="str">
        <f>"2016/01/14"</f>
        <v>2016/01/14</v>
      </c>
      <c r="J1493" t="str">
        <f>"120"</f>
        <v>120</v>
      </c>
      <c r="K1493" t="str">
        <f>"20220314"</f>
        <v>20220314</v>
      </c>
      <c r="L1493" t="s">
        <v>18</v>
      </c>
      <c r="M1493" t="str">
        <f>"20141215"</f>
        <v>20141215</v>
      </c>
    </row>
    <row r="1494" spans="1:13" x14ac:dyDescent="0.25">
      <c r="A1494" t="str">
        <f>"00052590"</f>
        <v>00052590</v>
      </c>
      <c r="B1494" t="s">
        <v>3326</v>
      </c>
      <c r="C1494" t="s">
        <v>55</v>
      </c>
      <c r="D1494" t="s">
        <v>47</v>
      </c>
      <c r="E1494" t="s">
        <v>26</v>
      </c>
      <c r="F1494" t="s">
        <v>17</v>
      </c>
      <c r="G1494" t="str">
        <f>"02"</f>
        <v>02</v>
      </c>
      <c r="H1494" t="str">
        <f>"7  "</f>
        <v xml:space="preserve">7  </v>
      </c>
      <c r="I1494" t="str">
        <f>"2005/06/10"</f>
        <v>2005/06/10</v>
      </c>
      <c r="J1494" t="str">
        <f>"503"</f>
        <v>503</v>
      </c>
      <c r="K1494" t="s">
        <v>18</v>
      </c>
      <c r="L1494" t="s">
        <v>18</v>
      </c>
      <c r="M1494" t="str">
        <f>"19770602"</f>
        <v>19770602</v>
      </c>
    </row>
    <row r="1495" spans="1:13" x14ac:dyDescent="0.25">
      <c r="A1495" t="str">
        <f>"00562947"</f>
        <v>00562947</v>
      </c>
      <c r="B1495" t="s">
        <v>3327</v>
      </c>
      <c r="C1495" t="s">
        <v>2004</v>
      </c>
      <c r="D1495" t="s">
        <v>45</v>
      </c>
      <c r="E1495" t="s">
        <v>26</v>
      </c>
      <c r="F1495" t="s">
        <v>17</v>
      </c>
      <c r="G1495" t="str">
        <f>"02"</f>
        <v>02</v>
      </c>
      <c r="H1495" t="str">
        <f>"3  "</f>
        <v xml:space="preserve">3  </v>
      </c>
      <c r="I1495" t="str">
        <f>"2017/05/30"</f>
        <v>2017/05/30</v>
      </c>
      <c r="J1495" t="str">
        <f>"110"</f>
        <v>110</v>
      </c>
      <c r="K1495" t="str">
        <f>"20210128"</f>
        <v>20210128</v>
      </c>
      <c r="L1495" t="s">
        <v>18</v>
      </c>
      <c r="M1495" t="str">
        <f>"20170510"</f>
        <v>20170510</v>
      </c>
    </row>
    <row r="1496" spans="1:13" x14ac:dyDescent="0.25">
      <c r="A1496" t="str">
        <f>"00723898"</f>
        <v>00723898</v>
      </c>
      <c r="B1496" t="s">
        <v>3328</v>
      </c>
      <c r="C1496" t="s">
        <v>68</v>
      </c>
      <c r="D1496" t="s">
        <v>16</v>
      </c>
      <c r="E1496" t="s">
        <v>16</v>
      </c>
      <c r="F1496" t="s">
        <v>17</v>
      </c>
      <c r="G1496" t="str">
        <f>"02"</f>
        <v>02</v>
      </c>
      <c r="H1496" t="str">
        <f>"3  "</f>
        <v xml:space="preserve">3  </v>
      </c>
      <c r="I1496" t="str">
        <f>"2012/12/20"</f>
        <v>2012/12/20</v>
      </c>
      <c r="J1496" t="str">
        <f>"110"</f>
        <v>110</v>
      </c>
      <c r="K1496" t="str">
        <f>"20230503"</f>
        <v>20230503</v>
      </c>
      <c r="L1496" t="s">
        <v>18</v>
      </c>
      <c r="M1496" t="str">
        <f>"20120814"</f>
        <v>20120814</v>
      </c>
    </row>
    <row r="1497" spans="1:13" x14ac:dyDescent="0.25">
      <c r="A1497" t="str">
        <f>"00193629"</f>
        <v>00193629</v>
      </c>
      <c r="B1497" t="s">
        <v>3329</v>
      </c>
      <c r="C1497" t="s">
        <v>555</v>
      </c>
      <c r="D1497" t="s">
        <v>113</v>
      </c>
      <c r="E1497" t="s">
        <v>16</v>
      </c>
      <c r="F1497" t="s">
        <v>17</v>
      </c>
      <c r="G1497" t="str">
        <f>"02"</f>
        <v>02</v>
      </c>
      <c r="H1497" t="str">
        <f>"3  "</f>
        <v xml:space="preserve">3  </v>
      </c>
      <c r="I1497" t="str">
        <f>"2015/09/25"</f>
        <v>2015/09/25</v>
      </c>
      <c r="J1497" t="str">
        <f>"510"</f>
        <v>510</v>
      </c>
      <c r="K1497" t="str">
        <f>"20210304"</f>
        <v>20210304</v>
      </c>
      <c r="L1497" t="s">
        <v>18</v>
      </c>
      <c r="M1497" t="str">
        <f>"20140328"</f>
        <v>20140328</v>
      </c>
    </row>
    <row r="1498" spans="1:13" x14ac:dyDescent="0.25">
      <c r="A1498" t="str">
        <f>"00775907"</f>
        <v>00775907</v>
      </c>
      <c r="B1498" t="s">
        <v>3333</v>
      </c>
      <c r="C1498" t="s">
        <v>348</v>
      </c>
      <c r="D1498" t="s">
        <v>142</v>
      </c>
      <c r="E1498" t="s">
        <v>16</v>
      </c>
      <c r="F1498" t="s">
        <v>17</v>
      </c>
      <c r="G1498" t="str">
        <f>"02"</f>
        <v>02</v>
      </c>
      <c r="H1498" t="str">
        <f>"3  "</f>
        <v xml:space="preserve">3  </v>
      </c>
      <c r="I1498" t="str">
        <f>"2015/09/23"</f>
        <v>2015/09/23</v>
      </c>
      <c r="J1498" t="str">
        <f>"110"</f>
        <v>110</v>
      </c>
      <c r="K1498" t="str">
        <f>"20370315"</f>
        <v>20370315</v>
      </c>
      <c r="L1498" t="s">
        <v>18</v>
      </c>
      <c r="M1498" t="str">
        <f>"20140829"</f>
        <v>20140829</v>
      </c>
    </row>
    <row r="1499" spans="1:13" x14ac:dyDescent="0.25">
      <c r="A1499" t="str">
        <f>"00294181"</f>
        <v>00294181</v>
      </c>
      <c r="B1499" t="s">
        <v>3336</v>
      </c>
      <c r="C1499" t="s">
        <v>140</v>
      </c>
      <c r="D1499" t="s">
        <v>40</v>
      </c>
      <c r="E1499" t="s">
        <v>16</v>
      </c>
      <c r="F1499" t="s">
        <v>17</v>
      </c>
      <c r="G1499" t="str">
        <f>"02"</f>
        <v>02</v>
      </c>
      <c r="H1499" t="str">
        <f>"3  "</f>
        <v xml:space="preserve">3  </v>
      </c>
      <c r="I1499" t="str">
        <f>"2013/09/09"</f>
        <v>2013/09/09</v>
      </c>
      <c r="J1499" t="str">
        <f>"510"</f>
        <v>510</v>
      </c>
      <c r="K1499" t="str">
        <f>"20240405"</f>
        <v>20240405</v>
      </c>
      <c r="L1499" t="s">
        <v>18</v>
      </c>
      <c r="M1499" t="str">
        <f>"20120713"</f>
        <v>20120713</v>
      </c>
    </row>
    <row r="1500" spans="1:13" x14ac:dyDescent="0.25">
      <c r="A1500" t="str">
        <f>"00213849"</f>
        <v>00213849</v>
      </c>
      <c r="B1500" t="s">
        <v>3343</v>
      </c>
      <c r="C1500" t="s">
        <v>68</v>
      </c>
      <c r="D1500" t="s">
        <v>16</v>
      </c>
      <c r="E1500" t="s">
        <v>16</v>
      </c>
      <c r="F1500" t="s">
        <v>17</v>
      </c>
      <c r="G1500" t="str">
        <f>"02"</f>
        <v>02</v>
      </c>
      <c r="H1500" t="str">
        <f>"3  "</f>
        <v xml:space="preserve">3  </v>
      </c>
      <c r="I1500" t="str">
        <f>"2018/09/05"</f>
        <v>2018/09/05</v>
      </c>
      <c r="J1500" t="str">
        <f>"503"</f>
        <v>503</v>
      </c>
      <c r="K1500" t="str">
        <f>"20230523"</f>
        <v>20230523</v>
      </c>
      <c r="L1500" t="s">
        <v>18</v>
      </c>
      <c r="M1500" t="str">
        <f>"20180321"</f>
        <v>20180321</v>
      </c>
    </row>
    <row r="1501" spans="1:13" x14ac:dyDescent="0.25">
      <c r="A1501" t="str">
        <f>"00496734"</f>
        <v>00496734</v>
      </c>
      <c r="B1501" t="s">
        <v>3344</v>
      </c>
      <c r="C1501" t="s">
        <v>471</v>
      </c>
      <c r="D1501" t="s">
        <v>53</v>
      </c>
      <c r="E1501" t="s">
        <v>16</v>
      </c>
      <c r="F1501" t="s">
        <v>17</v>
      </c>
      <c r="G1501" t="str">
        <f>"02"</f>
        <v>02</v>
      </c>
      <c r="H1501" t="str">
        <f>"3  "</f>
        <v xml:space="preserve">3  </v>
      </c>
      <c r="I1501" t="str">
        <f>"2015/12/04"</f>
        <v>2015/12/04</v>
      </c>
      <c r="J1501" t="str">
        <f>"110"</f>
        <v>110</v>
      </c>
      <c r="K1501" t="str">
        <f>"20231103"</f>
        <v>20231103</v>
      </c>
      <c r="L1501" t="s">
        <v>18</v>
      </c>
      <c r="M1501" t="str">
        <f>"20150331"</f>
        <v>20150331</v>
      </c>
    </row>
    <row r="1502" spans="1:13" x14ac:dyDescent="0.25">
      <c r="A1502" t="str">
        <f>"00607351"</f>
        <v>00607351</v>
      </c>
      <c r="B1502" t="s">
        <v>3345</v>
      </c>
      <c r="C1502" t="s">
        <v>1387</v>
      </c>
      <c r="D1502" t="s">
        <v>15</v>
      </c>
      <c r="E1502" t="s">
        <v>26</v>
      </c>
      <c r="F1502" t="s">
        <v>17</v>
      </c>
      <c r="G1502" t="str">
        <f>"02"</f>
        <v>02</v>
      </c>
      <c r="H1502" t="str">
        <f>"3  "</f>
        <v xml:space="preserve">3  </v>
      </c>
      <c r="I1502" t="str">
        <f>"2018/09/28"</f>
        <v>2018/09/28</v>
      </c>
      <c r="J1502" t="str">
        <f>"110"</f>
        <v>110</v>
      </c>
      <c r="K1502" t="str">
        <f>"20401215"</f>
        <v>20401215</v>
      </c>
      <c r="L1502" t="s">
        <v>18</v>
      </c>
      <c r="M1502" t="str">
        <f>"20170630"</f>
        <v>20170630</v>
      </c>
    </row>
    <row r="1503" spans="1:13" x14ac:dyDescent="0.25">
      <c r="A1503" t="str">
        <f>"00214546"</f>
        <v>00214546</v>
      </c>
      <c r="B1503" t="s">
        <v>3345</v>
      </c>
      <c r="C1503" t="s">
        <v>118</v>
      </c>
      <c r="D1503" t="s">
        <v>51</v>
      </c>
      <c r="E1503" t="s">
        <v>26</v>
      </c>
      <c r="F1503" t="s">
        <v>17</v>
      </c>
      <c r="G1503" t="str">
        <f>"02"</f>
        <v>02</v>
      </c>
      <c r="H1503" t="str">
        <f>"7  "</f>
        <v xml:space="preserve">7  </v>
      </c>
      <c r="I1503" t="str">
        <f>"2001/01/03"</f>
        <v>2001/01/03</v>
      </c>
      <c r="J1503" t="str">
        <f>"533"</f>
        <v>533</v>
      </c>
      <c r="K1503" t="s">
        <v>18</v>
      </c>
      <c r="L1503" t="s">
        <v>18</v>
      </c>
      <c r="M1503" t="str">
        <f>"19920304"</f>
        <v>19920304</v>
      </c>
    </row>
    <row r="1504" spans="1:13" x14ac:dyDescent="0.25">
      <c r="A1504" t="str">
        <f>"00705152"</f>
        <v>00705152</v>
      </c>
      <c r="B1504" t="s">
        <v>3345</v>
      </c>
      <c r="C1504" t="s">
        <v>3347</v>
      </c>
      <c r="D1504" t="s">
        <v>37</v>
      </c>
      <c r="E1504" t="s">
        <v>26</v>
      </c>
      <c r="F1504" t="s">
        <v>17</v>
      </c>
      <c r="G1504" t="str">
        <f>"02"</f>
        <v>02</v>
      </c>
      <c r="H1504" t="str">
        <f>"3  "</f>
        <v xml:space="preserve">3  </v>
      </c>
      <c r="I1504" t="str">
        <f>"2017/05/15"</f>
        <v>2017/05/15</v>
      </c>
      <c r="J1504" t="str">
        <f>"110"</f>
        <v>110</v>
      </c>
      <c r="K1504" t="str">
        <f>"20240819"</f>
        <v>20240819</v>
      </c>
      <c r="L1504" t="s">
        <v>18</v>
      </c>
      <c r="M1504" t="str">
        <f>"20160218"</f>
        <v>20160218</v>
      </c>
    </row>
    <row r="1505" spans="1:13" x14ac:dyDescent="0.25">
      <c r="A1505" t="str">
        <f>"00187553"</f>
        <v>00187553</v>
      </c>
      <c r="B1505" t="s">
        <v>3345</v>
      </c>
      <c r="C1505" t="s">
        <v>2324</v>
      </c>
      <c r="D1505" t="s">
        <v>40</v>
      </c>
      <c r="E1505" t="s">
        <v>26</v>
      </c>
      <c r="F1505" t="s">
        <v>17</v>
      </c>
      <c r="G1505" t="str">
        <f>"02"</f>
        <v>02</v>
      </c>
      <c r="H1505" t="str">
        <f>"3  "</f>
        <v xml:space="preserve">3  </v>
      </c>
      <c r="I1505" t="str">
        <f>"2009/08/21"</f>
        <v>2009/08/21</v>
      </c>
      <c r="J1505" t="str">
        <f>"503"</f>
        <v>503</v>
      </c>
      <c r="K1505" t="str">
        <f>"20260112"</f>
        <v>20260112</v>
      </c>
      <c r="L1505" t="s">
        <v>18</v>
      </c>
      <c r="M1505" t="str">
        <f>"19980217"</f>
        <v>19980217</v>
      </c>
    </row>
    <row r="1506" spans="1:13" x14ac:dyDescent="0.25">
      <c r="A1506" t="str">
        <f>"00463933"</f>
        <v>00463933</v>
      </c>
      <c r="B1506" t="s">
        <v>3345</v>
      </c>
      <c r="C1506" t="s">
        <v>526</v>
      </c>
      <c r="D1506" t="s">
        <v>25</v>
      </c>
      <c r="E1506" t="s">
        <v>26</v>
      </c>
      <c r="F1506" t="s">
        <v>17</v>
      </c>
      <c r="G1506" t="str">
        <f>"02"</f>
        <v>02</v>
      </c>
      <c r="H1506" t="str">
        <f>"3  "</f>
        <v xml:space="preserve">3  </v>
      </c>
      <c r="I1506" t="str">
        <f>"2019/04/01"</f>
        <v>2019/04/01</v>
      </c>
      <c r="J1506" t="str">
        <f>"510"</f>
        <v>510</v>
      </c>
      <c r="K1506" t="str">
        <f>"20520315"</f>
        <v>20520315</v>
      </c>
      <c r="L1506" t="s">
        <v>18</v>
      </c>
      <c r="M1506" t="str">
        <f>"20180127"</f>
        <v>20180127</v>
      </c>
    </row>
    <row r="1507" spans="1:13" x14ac:dyDescent="0.25">
      <c r="A1507" t="str">
        <f>"00296771"</f>
        <v>00296771</v>
      </c>
      <c r="B1507" t="s">
        <v>3351</v>
      </c>
      <c r="C1507" t="s">
        <v>3352</v>
      </c>
      <c r="D1507" t="s">
        <v>26</v>
      </c>
      <c r="E1507" t="s">
        <v>26</v>
      </c>
      <c r="F1507" t="s">
        <v>17</v>
      </c>
      <c r="G1507" t="str">
        <f>"02"</f>
        <v>02</v>
      </c>
      <c r="H1507" t="str">
        <f>"3  "</f>
        <v xml:space="preserve">3  </v>
      </c>
      <c r="I1507" t="str">
        <f>"2020/01/24"</f>
        <v>2020/01/24</v>
      </c>
      <c r="J1507" t="str">
        <f>"503"</f>
        <v>503</v>
      </c>
      <c r="K1507" t="str">
        <f>"20230806"</f>
        <v>20230806</v>
      </c>
      <c r="L1507" t="s">
        <v>18</v>
      </c>
      <c r="M1507" t="str">
        <f>"20191217"</f>
        <v>20191217</v>
      </c>
    </row>
    <row r="1508" spans="1:13" x14ac:dyDescent="0.25">
      <c r="A1508" t="str">
        <f>"00724231"</f>
        <v>00724231</v>
      </c>
      <c r="B1508" t="s">
        <v>3355</v>
      </c>
      <c r="C1508" t="s">
        <v>3356</v>
      </c>
      <c r="D1508" t="s">
        <v>25</v>
      </c>
      <c r="E1508" t="s">
        <v>26</v>
      </c>
      <c r="F1508" t="s">
        <v>17</v>
      </c>
      <c r="G1508" t="str">
        <f>"02"</f>
        <v>02</v>
      </c>
      <c r="H1508" t="str">
        <f>"3  "</f>
        <v xml:space="preserve">3  </v>
      </c>
      <c r="I1508" t="str">
        <f>"2018/07/18"</f>
        <v>2018/07/18</v>
      </c>
      <c r="J1508" t="str">
        <f>"503"</f>
        <v>503</v>
      </c>
      <c r="K1508" t="str">
        <f>"20210603"</f>
        <v>20210603</v>
      </c>
      <c r="L1508" t="s">
        <v>18</v>
      </c>
      <c r="M1508" t="str">
        <f>"20180106"</f>
        <v>20180106</v>
      </c>
    </row>
    <row r="1509" spans="1:13" x14ac:dyDescent="0.25">
      <c r="A1509" t="str">
        <f>"00602663"</f>
        <v>00602663</v>
      </c>
      <c r="B1509" t="s">
        <v>3355</v>
      </c>
      <c r="C1509" t="s">
        <v>3357</v>
      </c>
      <c r="D1509" t="s">
        <v>25</v>
      </c>
      <c r="E1509" t="s">
        <v>26</v>
      </c>
      <c r="F1509" t="s">
        <v>17</v>
      </c>
      <c r="G1509" t="str">
        <f>"02"</f>
        <v>02</v>
      </c>
      <c r="H1509" t="str">
        <f>"3  "</f>
        <v xml:space="preserve">3  </v>
      </c>
      <c r="I1509" t="str">
        <f>"2019/12/03"</f>
        <v>2019/12/03</v>
      </c>
      <c r="J1509" t="str">
        <f>"510"</f>
        <v>510</v>
      </c>
      <c r="K1509" t="str">
        <f>"20230214"</f>
        <v>20230214</v>
      </c>
      <c r="L1509" t="s">
        <v>18</v>
      </c>
      <c r="M1509" t="str">
        <f>"20180911"</f>
        <v>20180911</v>
      </c>
    </row>
    <row r="1510" spans="1:13" x14ac:dyDescent="0.25">
      <c r="A1510" t="str">
        <f>"00521265"</f>
        <v>00521265</v>
      </c>
      <c r="B1510" t="s">
        <v>3359</v>
      </c>
      <c r="C1510" t="s">
        <v>325</v>
      </c>
      <c r="D1510" t="s">
        <v>15</v>
      </c>
      <c r="E1510" t="s">
        <v>16</v>
      </c>
      <c r="F1510" t="s">
        <v>17</v>
      </c>
      <c r="G1510" t="str">
        <f>"02"</f>
        <v>02</v>
      </c>
      <c r="H1510" t="str">
        <f>"3  "</f>
        <v xml:space="preserve">3  </v>
      </c>
      <c r="I1510" t="str">
        <f>"2005/04/26"</f>
        <v>2005/04/26</v>
      </c>
      <c r="J1510" t="str">
        <f>"510"</f>
        <v>510</v>
      </c>
      <c r="K1510" t="str">
        <f>"20310326"</f>
        <v>20310326</v>
      </c>
      <c r="L1510" t="s">
        <v>18</v>
      </c>
      <c r="M1510" t="str">
        <f>"20040121"</f>
        <v>20040121</v>
      </c>
    </row>
    <row r="1511" spans="1:13" x14ac:dyDescent="0.25">
      <c r="A1511" t="str">
        <f>"00925884"</f>
        <v>00925884</v>
      </c>
      <c r="B1511" t="s">
        <v>3361</v>
      </c>
      <c r="C1511" t="s">
        <v>136</v>
      </c>
      <c r="D1511" t="s">
        <v>456</v>
      </c>
      <c r="E1511" t="s">
        <v>16</v>
      </c>
      <c r="F1511" t="s">
        <v>17</v>
      </c>
      <c r="G1511" t="str">
        <f>"02"</f>
        <v>02</v>
      </c>
      <c r="H1511" t="str">
        <f>"0  "</f>
        <v xml:space="preserve">0  </v>
      </c>
      <c r="I1511" t="str">
        <f>"2020/02/11"</f>
        <v>2020/02/11</v>
      </c>
      <c r="J1511" t="str">
        <f>"510"</f>
        <v>510</v>
      </c>
      <c r="K1511" t="s">
        <v>18</v>
      </c>
      <c r="L1511" t="s">
        <v>18</v>
      </c>
      <c r="M1511" t="s">
        <v>18</v>
      </c>
    </row>
    <row r="1512" spans="1:13" x14ac:dyDescent="0.25">
      <c r="A1512" t="str">
        <f>"00812684"</f>
        <v>00812684</v>
      </c>
      <c r="B1512" t="s">
        <v>3362</v>
      </c>
      <c r="C1512" t="s">
        <v>3363</v>
      </c>
      <c r="D1512" t="s">
        <v>25</v>
      </c>
      <c r="E1512" t="s">
        <v>26</v>
      </c>
      <c r="F1512" t="s">
        <v>17</v>
      </c>
      <c r="G1512" t="str">
        <f>"02"</f>
        <v>02</v>
      </c>
      <c r="H1512" t="str">
        <f>"3  "</f>
        <v xml:space="preserve">3  </v>
      </c>
      <c r="I1512" t="str">
        <f>"2019/04/12"</f>
        <v>2019/04/12</v>
      </c>
      <c r="J1512" t="str">
        <f>"510"</f>
        <v>510</v>
      </c>
      <c r="K1512" t="str">
        <f>"20260408"</f>
        <v>20260408</v>
      </c>
      <c r="L1512" t="s">
        <v>18</v>
      </c>
      <c r="M1512" t="str">
        <f>"20180217"</f>
        <v>20180217</v>
      </c>
    </row>
    <row r="1513" spans="1:13" x14ac:dyDescent="0.25">
      <c r="A1513" t="str">
        <f>"00547289"</f>
        <v>00547289</v>
      </c>
      <c r="B1513" t="s">
        <v>3362</v>
      </c>
      <c r="C1513" t="s">
        <v>74</v>
      </c>
      <c r="D1513" t="s">
        <v>16</v>
      </c>
      <c r="E1513" t="s">
        <v>26</v>
      </c>
      <c r="F1513" t="s">
        <v>17</v>
      </c>
      <c r="G1513" t="str">
        <f>"02"</f>
        <v>02</v>
      </c>
      <c r="H1513" t="str">
        <f>"3  "</f>
        <v xml:space="preserve">3  </v>
      </c>
      <c r="I1513" t="str">
        <f>"2014/10/21"</f>
        <v>2014/10/21</v>
      </c>
      <c r="J1513" t="str">
        <f>"510"</f>
        <v>510</v>
      </c>
      <c r="K1513" t="str">
        <f>"20201107"</f>
        <v>20201107</v>
      </c>
      <c r="L1513" t="s">
        <v>18</v>
      </c>
      <c r="M1513" t="str">
        <f>"20120227"</f>
        <v>20120227</v>
      </c>
    </row>
    <row r="1514" spans="1:13" x14ac:dyDescent="0.25">
      <c r="A1514" t="str">
        <f>"00475424"</f>
        <v>00475424</v>
      </c>
      <c r="B1514" t="s">
        <v>3375</v>
      </c>
      <c r="C1514" t="s">
        <v>3376</v>
      </c>
      <c r="D1514" t="s">
        <v>15</v>
      </c>
      <c r="E1514" t="s">
        <v>26</v>
      </c>
      <c r="F1514" t="s">
        <v>17</v>
      </c>
      <c r="G1514" t="str">
        <f>"02"</f>
        <v>02</v>
      </c>
      <c r="H1514" t="str">
        <f>"3  "</f>
        <v xml:space="preserve">3  </v>
      </c>
      <c r="I1514" t="str">
        <f>"2015/01/09"</f>
        <v>2015/01/09</v>
      </c>
      <c r="J1514" t="str">
        <f>"510"</f>
        <v>510</v>
      </c>
      <c r="K1514" t="str">
        <f>"20220930"</f>
        <v>20220930</v>
      </c>
      <c r="L1514" t="s">
        <v>18</v>
      </c>
      <c r="M1514" t="str">
        <f>"20131016"</f>
        <v>20131016</v>
      </c>
    </row>
    <row r="1515" spans="1:13" x14ac:dyDescent="0.25">
      <c r="A1515" t="str">
        <f>"00704000"</f>
        <v>00704000</v>
      </c>
      <c r="B1515" t="s">
        <v>3378</v>
      </c>
      <c r="C1515" t="s">
        <v>1806</v>
      </c>
      <c r="D1515" t="s">
        <v>61</v>
      </c>
      <c r="E1515" t="s">
        <v>26</v>
      </c>
      <c r="F1515" t="s">
        <v>17</v>
      </c>
      <c r="G1515" t="str">
        <f>"02"</f>
        <v>02</v>
      </c>
      <c r="H1515" t="str">
        <f>"3  "</f>
        <v xml:space="preserve">3  </v>
      </c>
      <c r="I1515" t="str">
        <f>"2017/11/29"</f>
        <v>2017/11/29</v>
      </c>
      <c r="J1515" t="str">
        <f>"110"</f>
        <v>110</v>
      </c>
      <c r="K1515" t="str">
        <f>"20210215"</f>
        <v>20210215</v>
      </c>
      <c r="L1515" t="s">
        <v>18</v>
      </c>
      <c r="M1515" t="str">
        <f>"20170626"</f>
        <v>20170626</v>
      </c>
    </row>
    <row r="1516" spans="1:13" x14ac:dyDescent="0.25">
      <c r="A1516" t="str">
        <f>"00450218"</f>
        <v>00450218</v>
      </c>
      <c r="B1516" t="s">
        <v>3378</v>
      </c>
      <c r="C1516" t="s">
        <v>169</v>
      </c>
      <c r="D1516" t="s">
        <v>61</v>
      </c>
      <c r="E1516" t="s">
        <v>16</v>
      </c>
      <c r="F1516" t="s">
        <v>17</v>
      </c>
      <c r="G1516" t="str">
        <f>"02"</f>
        <v>02</v>
      </c>
      <c r="H1516" t="str">
        <f>"3  "</f>
        <v xml:space="preserve">3  </v>
      </c>
      <c r="I1516" t="str">
        <f>"2014/11/17"</f>
        <v>2014/11/17</v>
      </c>
      <c r="J1516" t="str">
        <f>"510"</f>
        <v>510</v>
      </c>
      <c r="K1516" t="str">
        <f>"20230806"</f>
        <v>20230806</v>
      </c>
      <c r="L1516" t="s">
        <v>18</v>
      </c>
      <c r="M1516" t="str">
        <f>"20130823"</f>
        <v>20130823</v>
      </c>
    </row>
    <row r="1517" spans="1:13" x14ac:dyDescent="0.25">
      <c r="A1517" t="str">
        <f>"00326202"</f>
        <v>00326202</v>
      </c>
      <c r="B1517" t="s">
        <v>3384</v>
      </c>
      <c r="C1517" t="s">
        <v>3385</v>
      </c>
      <c r="D1517" t="s">
        <v>97</v>
      </c>
      <c r="E1517" t="s">
        <v>26</v>
      </c>
      <c r="F1517" t="s">
        <v>17</v>
      </c>
      <c r="G1517" t="str">
        <f>"02"</f>
        <v>02</v>
      </c>
      <c r="H1517" t="str">
        <f>"7  "</f>
        <v xml:space="preserve">7  </v>
      </c>
      <c r="I1517" t="str">
        <f>"2002/06/28"</f>
        <v>2002/06/28</v>
      </c>
      <c r="J1517" t="str">
        <f>"810"</f>
        <v>810</v>
      </c>
      <c r="K1517" t="s">
        <v>18</v>
      </c>
      <c r="L1517" t="s">
        <v>18</v>
      </c>
      <c r="M1517" t="str">
        <f>"20000229"</f>
        <v>20000229</v>
      </c>
    </row>
    <row r="1518" spans="1:13" x14ac:dyDescent="0.25">
      <c r="A1518" t="str">
        <f>"00603729"</f>
        <v>00603729</v>
      </c>
      <c r="B1518" t="s">
        <v>3394</v>
      </c>
      <c r="C1518" t="s">
        <v>408</v>
      </c>
      <c r="D1518" t="s">
        <v>25</v>
      </c>
      <c r="E1518" t="s">
        <v>26</v>
      </c>
      <c r="F1518" t="s">
        <v>17</v>
      </c>
      <c r="G1518" t="str">
        <f>"02"</f>
        <v>02</v>
      </c>
      <c r="H1518" t="str">
        <f>"3  "</f>
        <v xml:space="preserve">3  </v>
      </c>
      <c r="I1518" t="str">
        <f>"2017/05/19"</f>
        <v>2017/05/19</v>
      </c>
      <c r="J1518" t="str">
        <f>"510"</f>
        <v>510</v>
      </c>
      <c r="K1518" t="str">
        <f>"20330918"</f>
        <v>20330918</v>
      </c>
      <c r="L1518" t="s">
        <v>18</v>
      </c>
      <c r="M1518" t="str">
        <f>"20170106"</f>
        <v>20170106</v>
      </c>
    </row>
    <row r="1519" spans="1:13" x14ac:dyDescent="0.25">
      <c r="A1519" t="str">
        <f>"00152670"</f>
        <v>00152670</v>
      </c>
      <c r="B1519" t="s">
        <v>3395</v>
      </c>
      <c r="C1519" t="s">
        <v>526</v>
      </c>
      <c r="D1519" t="s">
        <v>16</v>
      </c>
      <c r="E1519" t="s">
        <v>16</v>
      </c>
      <c r="F1519" t="s">
        <v>17</v>
      </c>
      <c r="G1519" t="str">
        <f>"02"</f>
        <v>02</v>
      </c>
      <c r="H1519" t="str">
        <f>"3  "</f>
        <v xml:space="preserve">3  </v>
      </c>
      <c r="I1519" t="str">
        <f>"1995/05/03"</f>
        <v>1995/05/03</v>
      </c>
      <c r="J1519" t="str">
        <f>"532"</f>
        <v>532</v>
      </c>
      <c r="K1519" t="str">
        <f>"20320414"</f>
        <v>20320414</v>
      </c>
      <c r="L1519" t="s">
        <v>18</v>
      </c>
      <c r="M1519" t="str">
        <f>"19920219"</f>
        <v>19920219</v>
      </c>
    </row>
    <row r="1520" spans="1:13" x14ac:dyDescent="0.25">
      <c r="A1520" t="str">
        <f>"00718336"</f>
        <v>00718336</v>
      </c>
      <c r="B1520" t="s">
        <v>3406</v>
      </c>
      <c r="C1520" t="s">
        <v>1153</v>
      </c>
      <c r="D1520" t="s">
        <v>51</v>
      </c>
      <c r="E1520" t="s">
        <v>26</v>
      </c>
      <c r="F1520" t="s">
        <v>17</v>
      </c>
      <c r="G1520" t="str">
        <f>"02"</f>
        <v>02</v>
      </c>
      <c r="H1520" t="str">
        <f>"3  "</f>
        <v xml:space="preserve">3  </v>
      </c>
      <c r="I1520" t="str">
        <f>"2017/10/13"</f>
        <v>2017/10/13</v>
      </c>
      <c r="J1520" t="str">
        <f>"503"</f>
        <v>503</v>
      </c>
      <c r="K1520" t="str">
        <f>"20530528"</f>
        <v>20530528</v>
      </c>
      <c r="L1520" t="s">
        <v>18</v>
      </c>
      <c r="M1520" t="str">
        <f>"20170531"</f>
        <v>20170531</v>
      </c>
    </row>
    <row r="1521" spans="1:13" x14ac:dyDescent="0.25">
      <c r="A1521" t="str">
        <f>"00474323"</f>
        <v>00474323</v>
      </c>
      <c r="B1521" t="s">
        <v>3407</v>
      </c>
      <c r="C1521" t="s">
        <v>3408</v>
      </c>
      <c r="D1521" t="s">
        <v>80</v>
      </c>
      <c r="E1521" t="s">
        <v>16</v>
      </c>
      <c r="F1521" t="s">
        <v>17</v>
      </c>
      <c r="G1521" t="str">
        <f>"02"</f>
        <v>02</v>
      </c>
      <c r="H1521" t="str">
        <f>"3  "</f>
        <v xml:space="preserve">3  </v>
      </c>
      <c r="I1521" t="str">
        <f>"2016/08/12"</f>
        <v>2016/08/12</v>
      </c>
      <c r="J1521" t="str">
        <f>"503"</f>
        <v>503</v>
      </c>
      <c r="K1521" t="str">
        <f>"20210419"</f>
        <v>20210419</v>
      </c>
      <c r="L1521" t="s">
        <v>18</v>
      </c>
      <c r="M1521" t="str">
        <f>"20161018"</f>
        <v>20161018</v>
      </c>
    </row>
    <row r="1522" spans="1:13" x14ac:dyDescent="0.25">
      <c r="A1522" t="str">
        <f>"00806865"</f>
        <v>00806865</v>
      </c>
      <c r="B1522" t="s">
        <v>3411</v>
      </c>
      <c r="C1522" t="s">
        <v>552</v>
      </c>
      <c r="D1522" t="s">
        <v>16</v>
      </c>
      <c r="E1522" t="s">
        <v>16</v>
      </c>
      <c r="F1522" t="s">
        <v>17</v>
      </c>
      <c r="G1522" t="str">
        <f>"02"</f>
        <v>02</v>
      </c>
      <c r="H1522" t="str">
        <f>"7  "</f>
        <v xml:space="preserve">7  </v>
      </c>
      <c r="I1522" t="str">
        <f>"2018/04/23"</f>
        <v>2018/04/23</v>
      </c>
      <c r="J1522" t="str">
        <f>"110"</f>
        <v>110</v>
      </c>
      <c r="K1522" t="s">
        <v>18</v>
      </c>
      <c r="L1522" t="s">
        <v>18</v>
      </c>
      <c r="M1522" t="str">
        <f>"20151109"</f>
        <v>20151109</v>
      </c>
    </row>
    <row r="1523" spans="1:13" x14ac:dyDescent="0.25">
      <c r="A1523" t="str">
        <f>"00455723"</f>
        <v>00455723</v>
      </c>
      <c r="B1523" t="s">
        <v>3415</v>
      </c>
      <c r="C1523" t="s">
        <v>346</v>
      </c>
      <c r="D1523" t="s">
        <v>25</v>
      </c>
      <c r="E1523" t="s">
        <v>26</v>
      </c>
      <c r="F1523" t="s">
        <v>17</v>
      </c>
      <c r="G1523" t="str">
        <f>"02"</f>
        <v>02</v>
      </c>
      <c r="H1523" t="str">
        <f>"7  "</f>
        <v xml:space="preserve">7  </v>
      </c>
      <c r="I1523" t="str">
        <f>"2019/05/17"</f>
        <v>2019/05/17</v>
      </c>
      <c r="J1523" t="str">
        <f>"533"</f>
        <v>533</v>
      </c>
      <c r="K1523" t="s">
        <v>18</v>
      </c>
      <c r="L1523" t="s">
        <v>18</v>
      </c>
      <c r="M1523" t="str">
        <f>"20100615"</f>
        <v>20100615</v>
      </c>
    </row>
    <row r="1524" spans="1:13" x14ac:dyDescent="0.25">
      <c r="A1524" t="str">
        <f>"00275245"</f>
        <v>00275245</v>
      </c>
      <c r="B1524" t="s">
        <v>3420</v>
      </c>
      <c r="C1524" t="s">
        <v>48</v>
      </c>
      <c r="D1524" t="s">
        <v>61</v>
      </c>
      <c r="E1524" t="s">
        <v>26</v>
      </c>
      <c r="F1524" t="s">
        <v>17</v>
      </c>
      <c r="G1524" t="str">
        <f>"02"</f>
        <v>02</v>
      </c>
      <c r="H1524" t="str">
        <f>"7  "</f>
        <v xml:space="preserve">7  </v>
      </c>
      <c r="I1524" t="str">
        <f>"1993/01/21"</f>
        <v>1993/01/21</v>
      </c>
      <c r="J1524" t="str">
        <f>"510"</f>
        <v>510</v>
      </c>
      <c r="K1524" t="s">
        <v>18</v>
      </c>
      <c r="L1524" t="s">
        <v>18</v>
      </c>
      <c r="M1524" t="str">
        <f>"19920105"</f>
        <v>19920105</v>
      </c>
    </row>
    <row r="1525" spans="1:13" x14ac:dyDescent="0.25">
      <c r="A1525" t="str">
        <f>"00527650"</f>
        <v>00527650</v>
      </c>
      <c r="B1525" t="s">
        <v>3420</v>
      </c>
      <c r="C1525" t="s">
        <v>169</v>
      </c>
      <c r="D1525" t="s">
        <v>51</v>
      </c>
      <c r="E1525" t="s">
        <v>26</v>
      </c>
      <c r="F1525" t="s">
        <v>17</v>
      </c>
      <c r="G1525" t="str">
        <f>"02"</f>
        <v>02</v>
      </c>
      <c r="H1525" t="str">
        <f>"3  "</f>
        <v xml:space="preserve">3  </v>
      </c>
      <c r="I1525" t="str">
        <f>"2020/08/05"</f>
        <v>2020/08/05</v>
      </c>
      <c r="J1525" t="str">
        <f>"533"</f>
        <v>533</v>
      </c>
      <c r="K1525" t="str">
        <f>"20241209"</f>
        <v>20241209</v>
      </c>
      <c r="L1525" t="s">
        <v>18</v>
      </c>
      <c r="M1525" t="str">
        <f>"20070911"</f>
        <v>20070911</v>
      </c>
    </row>
    <row r="1526" spans="1:13" x14ac:dyDescent="0.25">
      <c r="A1526" t="str">
        <f>"00318380"</f>
        <v>00318380</v>
      </c>
      <c r="B1526" t="s">
        <v>3423</v>
      </c>
      <c r="C1526" t="s">
        <v>492</v>
      </c>
      <c r="D1526" t="s">
        <v>61</v>
      </c>
      <c r="E1526" t="s">
        <v>26</v>
      </c>
      <c r="F1526" t="s">
        <v>17</v>
      </c>
      <c r="G1526" t="str">
        <f>"02"</f>
        <v>02</v>
      </c>
      <c r="H1526" t="str">
        <f>"3  "</f>
        <v xml:space="preserve">3  </v>
      </c>
      <c r="I1526" t="str">
        <f>"2018/07/02"</f>
        <v>2018/07/02</v>
      </c>
      <c r="J1526" t="str">
        <f>"110"</f>
        <v>110</v>
      </c>
      <c r="K1526" t="str">
        <f>"20220917"</f>
        <v>20220917</v>
      </c>
      <c r="L1526" t="s">
        <v>18</v>
      </c>
      <c r="M1526" t="str">
        <f>"20180702"</f>
        <v>20180702</v>
      </c>
    </row>
    <row r="1527" spans="1:13" x14ac:dyDescent="0.25">
      <c r="A1527" t="str">
        <f>"00181310"</f>
        <v>00181310</v>
      </c>
      <c r="B1527" t="s">
        <v>3424</v>
      </c>
      <c r="C1527" t="s">
        <v>60</v>
      </c>
      <c r="D1527" t="s">
        <v>51</v>
      </c>
      <c r="E1527" t="s">
        <v>26</v>
      </c>
      <c r="F1527" t="s">
        <v>17</v>
      </c>
      <c r="G1527" t="str">
        <f>"02"</f>
        <v>02</v>
      </c>
      <c r="H1527" t="str">
        <f>"7  "</f>
        <v xml:space="preserve">7  </v>
      </c>
      <c r="I1527" t="str">
        <f>"1990/12/07"</f>
        <v>1990/12/07</v>
      </c>
      <c r="J1527" t="str">
        <f>"503"</f>
        <v>503</v>
      </c>
      <c r="K1527" t="s">
        <v>18</v>
      </c>
      <c r="L1527" t="str">
        <f>"20201027"</f>
        <v>20201027</v>
      </c>
      <c r="M1527" t="str">
        <f>"19860908"</f>
        <v>19860908</v>
      </c>
    </row>
    <row r="1528" spans="1:13" x14ac:dyDescent="0.25">
      <c r="A1528" t="str">
        <f>"00424994"</f>
        <v>00424994</v>
      </c>
      <c r="B1528" t="s">
        <v>3425</v>
      </c>
      <c r="C1528" t="s">
        <v>60</v>
      </c>
      <c r="D1528" t="s">
        <v>16</v>
      </c>
      <c r="E1528" t="s">
        <v>16</v>
      </c>
      <c r="F1528" t="s">
        <v>17</v>
      </c>
      <c r="G1528" t="str">
        <f>"02"</f>
        <v>02</v>
      </c>
      <c r="H1528" t="str">
        <f>"3  "</f>
        <v xml:space="preserve">3  </v>
      </c>
      <c r="I1528" t="str">
        <f>"2020/03/17"</f>
        <v>2020/03/17</v>
      </c>
      <c r="J1528" t="str">
        <f>"512"</f>
        <v>512</v>
      </c>
      <c r="K1528" t="str">
        <f>"20240908"</f>
        <v>20240908</v>
      </c>
      <c r="L1528" t="s">
        <v>18</v>
      </c>
      <c r="M1528" t="str">
        <f>"20200224"</f>
        <v>20200224</v>
      </c>
    </row>
    <row r="1529" spans="1:13" x14ac:dyDescent="0.25">
      <c r="A1529" t="str">
        <f>"00579068"</f>
        <v>00579068</v>
      </c>
      <c r="B1529" t="s">
        <v>3427</v>
      </c>
      <c r="C1529" t="s">
        <v>552</v>
      </c>
      <c r="D1529" t="s">
        <v>25</v>
      </c>
      <c r="E1529" t="s">
        <v>26</v>
      </c>
      <c r="F1529" t="s">
        <v>17</v>
      </c>
      <c r="G1529" t="str">
        <f>"02"</f>
        <v>02</v>
      </c>
      <c r="H1529" t="str">
        <f>"3  "</f>
        <v xml:space="preserve">3  </v>
      </c>
      <c r="I1529" t="str">
        <f>"2008/06/16"</f>
        <v>2008/06/16</v>
      </c>
      <c r="J1529" t="str">
        <f>"510"</f>
        <v>510</v>
      </c>
      <c r="K1529" t="str">
        <f>"20241112"</f>
        <v>20241112</v>
      </c>
      <c r="L1529" t="s">
        <v>18</v>
      </c>
      <c r="M1529" t="str">
        <f>"20061116"</f>
        <v>20061116</v>
      </c>
    </row>
    <row r="1530" spans="1:13" x14ac:dyDescent="0.25">
      <c r="A1530" t="str">
        <f>"00663699"</f>
        <v>00663699</v>
      </c>
      <c r="B1530" t="s">
        <v>3428</v>
      </c>
      <c r="C1530" t="s">
        <v>3429</v>
      </c>
      <c r="D1530" t="s">
        <v>25</v>
      </c>
      <c r="E1530" t="s">
        <v>16</v>
      </c>
      <c r="F1530" t="s">
        <v>17</v>
      </c>
      <c r="G1530" t="str">
        <f>"02"</f>
        <v>02</v>
      </c>
      <c r="H1530" t="str">
        <f>"3  "</f>
        <v xml:space="preserve">3  </v>
      </c>
      <c r="I1530" t="str">
        <f>"2019/01/18"</f>
        <v>2019/01/18</v>
      </c>
      <c r="J1530" t="str">
        <f>"510"</f>
        <v>510</v>
      </c>
      <c r="K1530" t="str">
        <f>"20280524"</f>
        <v>20280524</v>
      </c>
      <c r="L1530" t="s">
        <v>18</v>
      </c>
      <c r="M1530" t="str">
        <f>"20170812"</f>
        <v>20170812</v>
      </c>
    </row>
    <row r="1531" spans="1:13" x14ac:dyDescent="0.25">
      <c r="A1531" t="str">
        <f>"00320225"</f>
        <v>00320225</v>
      </c>
      <c r="B1531" t="s">
        <v>3431</v>
      </c>
      <c r="C1531" t="s">
        <v>2720</v>
      </c>
      <c r="D1531" t="s">
        <v>51</v>
      </c>
      <c r="E1531" t="s">
        <v>26</v>
      </c>
      <c r="F1531" t="s">
        <v>17</v>
      </c>
      <c r="G1531" t="str">
        <f>"02"</f>
        <v>02</v>
      </c>
      <c r="H1531" t="str">
        <f>"3  "</f>
        <v xml:space="preserve">3  </v>
      </c>
      <c r="I1531" t="str">
        <f>"2020/09/03"</f>
        <v>2020/09/03</v>
      </c>
      <c r="J1531" t="str">
        <f>"512"</f>
        <v>512</v>
      </c>
      <c r="K1531" t="str">
        <f>"20210322"</f>
        <v>20210322</v>
      </c>
      <c r="L1531" t="s">
        <v>18</v>
      </c>
      <c r="M1531" t="str">
        <f>"20091115"</f>
        <v>20091115</v>
      </c>
    </row>
    <row r="1532" spans="1:13" x14ac:dyDescent="0.25">
      <c r="A1532" t="str">
        <f>"00392211"</f>
        <v>00392211</v>
      </c>
      <c r="B1532" t="s">
        <v>3434</v>
      </c>
      <c r="C1532" t="s">
        <v>3435</v>
      </c>
      <c r="D1532" t="s">
        <v>15</v>
      </c>
      <c r="E1532" t="s">
        <v>26</v>
      </c>
      <c r="F1532" t="s">
        <v>17</v>
      </c>
      <c r="G1532" t="str">
        <f>"02"</f>
        <v>02</v>
      </c>
      <c r="H1532" t="str">
        <f>"3  "</f>
        <v xml:space="preserve">3  </v>
      </c>
      <c r="I1532" t="str">
        <f>"2019/05/10"</f>
        <v>2019/05/10</v>
      </c>
      <c r="J1532" t="str">
        <f>"510"</f>
        <v>510</v>
      </c>
      <c r="K1532" t="str">
        <f>"20220131"</f>
        <v>20220131</v>
      </c>
      <c r="L1532" t="s">
        <v>18</v>
      </c>
      <c r="M1532" t="str">
        <f>"20190104"</f>
        <v>20190104</v>
      </c>
    </row>
    <row r="1533" spans="1:13" x14ac:dyDescent="0.25">
      <c r="A1533" t="str">
        <f>"00246587"</f>
        <v>00246587</v>
      </c>
      <c r="B1533" t="s">
        <v>3434</v>
      </c>
      <c r="C1533" t="s">
        <v>3436</v>
      </c>
      <c r="D1533" t="s">
        <v>61</v>
      </c>
      <c r="E1533" t="s">
        <v>16</v>
      </c>
      <c r="F1533" t="s">
        <v>17</v>
      </c>
      <c r="G1533" t="str">
        <f>"02"</f>
        <v>02</v>
      </c>
      <c r="H1533" t="str">
        <f>"3  "</f>
        <v xml:space="preserve">3  </v>
      </c>
      <c r="I1533" t="str">
        <f>"1991/01/16"</f>
        <v>1991/01/16</v>
      </c>
      <c r="J1533" t="str">
        <f>"110"</f>
        <v>110</v>
      </c>
      <c r="K1533" t="str">
        <f>"20450716"</f>
        <v>20450716</v>
      </c>
      <c r="L1533" t="s">
        <v>18</v>
      </c>
      <c r="M1533" t="str">
        <f>"19890905"</f>
        <v>19890905</v>
      </c>
    </row>
    <row r="1534" spans="1:13" x14ac:dyDescent="0.25">
      <c r="A1534" t="str">
        <f>"00206524"</f>
        <v>00206524</v>
      </c>
      <c r="B1534" t="s">
        <v>3438</v>
      </c>
      <c r="C1534" t="s">
        <v>118</v>
      </c>
      <c r="D1534" t="s">
        <v>45</v>
      </c>
      <c r="E1534" t="s">
        <v>16</v>
      </c>
      <c r="F1534" t="s">
        <v>17</v>
      </c>
      <c r="G1534" t="str">
        <f>"02"</f>
        <v>02</v>
      </c>
      <c r="H1534" t="str">
        <f>"3  "</f>
        <v xml:space="preserve">3  </v>
      </c>
      <c r="I1534" t="str">
        <f>"1991/05/16"</f>
        <v>1991/05/16</v>
      </c>
      <c r="J1534" t="str">
        <f>"110"</f>
        <v>110</v>
      </c>
      <c r="K1534" t="str">
        <f>"20201005"</f>
        <v>20201005</v>
      </c>
      <c r="L1534" t="s">
        <v>18</v>
      </c>
      <c r="M1534" t="str">
        <f>"19900803"</f>
        <v>19900803</v>
      </c>
    </row>
    <row r="1535" spans="1:13" x14ac:dyDescent="0.25">
      <c r="A1535" t="str">
        <f>"00185715"</f>
        <v>00185715</v>
      </c>
      <c r="B1535" t="s">
        <v>3438</v>
      </c>
      <c r="C1535" t="s">
        <v>138</v>
      </c>
      <c r="D1535" t="s">
        <v>80</v>
      </c>
      <c r="E1535" t="s">
        <v>16</v>
      </c>
      <c r="F1535" t="s">
        <v>17</v>
      </c>
      <c r="G1535" t="str">
        <f>"02"</f>
        <v>02</v>
      </c>
      <c r="H1535" t="str">
        <f>"3  "</f>
        <v xml:space="preserve">3  </v>
      </c>
      <c r="I1535" t="str">
        <f>"2018/10/12"</f>
        <v>2018/10/12</v>
      </c>
      <c r="J1535" t="str">
        <f>"503"</f>
        <v>503</v>
      </c>
      <c r="K1535" t="str">
        <f>"20450508"</f>
        <v>20450508</v>
      </c>
      <c r="L1535" t="s">
        <v>18</v>
      </c>
      <c r="M1535" t="str">
        <f>"20180412"</f>
        <v>20180412</v>
      </c>
    </row>
    <row r="1536" spans="1:13" x14ac:dyDescent="0.25">
      <c r="A1536" t="str">
        <f>"00511869"</f>
        <v>00511869</v>
      </c>
      <c r="B1536" t="s">
        <v>3439</v>
      </c>
      <c r="C1536" t="s">
        <v>327</v>
      </c>
      <c r="D1536" t="s">
        <v>21</v>
      </c>
      <c r="E1536" t="s">
        <v>26</v>
      </c>
      <c r="F1536" t="s">
        <v>17</v>
      </c>
      <c r="G1536" t="str">
        <f>"02"</f>
        <v>02</v>
      </c>
      <c r="H1536" t="str">
        <f>"3  "</f>
        <v xml:space="preserve">3  </v>
      </c>
      <c r="I1536" t="str">
        <f>"2015/05/20"</f>
        <v>2015/05/20</v>
      </c>
      <c r="J1536" t="str">
        <f>"510"</f>
        <v>510</v>
      </c>
      <c r="K1536" t="str">
        <f>"20401023"</f>
        <v>20401023</v>
      </c>
      <c r="L1536" t="s">
        <v>18</v>
      </c>
      <c r="M1536" t="str">
        <f>"20140408"</f>
        <v>20140408</v>
      </c>
    </row>
    <row r="1537" spans="1:13" x14ac:dyDescent="0.25">
      <c r="A1537" t="str">
        <f>"00611200"</f>
        <v>00611200</v>
      </c>
      <c r="B1537" t="s">
        <v>3442</v>
      </c>
      <c r="C1537" t="s">
        <v>3443</v>
      </c>
      <c r="D1537" t="s">
        <v>21</v>
      </c>
      <c r="E1537" t="s">
        <v>26</v>
      </c>
      <c r="F1537" t="s">
        <v>17</v>
      </c>
      <c r="G1537" t="str">
        <f>"02"</f>
        <v>02</v>
      </c>
      <c r="H1537" t="str">
        <f>"3  "</f>
        <v xml:space="preserve">3  </v>
      </c>
      <c r="I1537" t="str">
        <f>"2020/07/21"</f>
        <v>2020/07/21</v>
      </c>
      <c r="J1537" t="str">
        <f>"533"</f>
        <v>533</v>
      </c>
      <c r="K1537" t="str">
        <f>"20270926"</f>
        <v>20270926</v>
      </c>
      <c r="L1537" t="s">
        <v>18</v>
      </c>
      <c r="M1537" t="str">
        <f>"20150528"</f>
        <v>20150528</v>
      </c>
    </row>
    <row r="1538" spans="1:13" x14ac:dyDescent="0.25">
      <c r="A1538" t="str">
        <f>"00721219"</f>
        <v>00721219</v>
      </c>
      <c r="B1538" t="s">
        <v>3444</v>
      </c>
      <c r="C1538" t="s">
        <v>3445</v>
      </c>
      <c r="D1538" t="s">
        <v>53</v>
      </c>
      <c r="E1538" t="s">
        <v>26</v>
      </c>
      <c r="F1538" t="s">
        <v>17</v>
      </c>
      <c r="G1538" t="str">
        <f>"02"</f>
        <v>02</v>
      </c>
      <c r="H1538" t="str">
        <f>"1  "</f>
        <v xml:space="preserve">1  </v>
      </c>
      <c r="I1538" t="str">
        <f>"2020/09/21"</f>
        <v>2020/09/21</v>
      </c>
      <c r="J1538" t="str">
        <f>"504"</f>
        <v>504</v>
      </c>
      <c r="K1538" t="str">
        <f>"20200929"</f>
        <v>20200929</v>
      </c>
      <c r="L1538" t="s">
        <v>18</v>
      </c>
      <c r="M1538" t="str">
        <f>"20200501"</f>
        <v>20200501</v>
      </c>
    </row>
    <row r="1539" spans="1:13" x14ac:dyDescent="0.25">
      <c r="A1539" t="str">
        <f>"00166719"</f>
        <v>00166719</v>
      </c>
      <c r="B1539" t="s">
        <v>3446</v>
      </c>
      <c r="C1539" t="s">
        <v>578</v>
      </c>
      <c r="D1539" t="s">
        <v>215</v>
      </c>
      <c r="E1539" t="s">
        <v>26</v>
      </c>
      <c r="F1539" t="s">
        <v>17</v>
      </c>
      <c r="G1539" t="str">
        <f>"02"</f>
        <v>02</v>
      </c>
      <c r="H1539" t="str">
        <f>"7  "</f>
        <v xml:space="preserve">7  </v>
      </c>
      <c r="I1539" t="str">
        <f>"2002/01/28"</f>
        <v>2002/01/28</v>
      </c>
      <c r="J1539" t="str">
        <f>"114"</f>
        <v>114</v>
      </c>
      <c r="K1539" t="s">
        <v>18</v>
      </c>
      <c r="L1539" t="s">
        <v>18</v>
      </c>
      <c r="M1539" t="str">
        <f>"20010326"</f>
        <v>20010326</v>
      </c>
    </row>
    <row r="1540" spans="1:13" x14ac:dyDescent="0.25">
      <c r="A1540" t="str">
        <f>"00073819"</f>
        <v>00073819</v>
      </c>
      <c r="B1540" t="s">
        <v>3447</v>
      </c>
      <c r="C1540" t="s">
        <v>714</v>
      </c>
      <c r="D1540" t="s">
        <v>47</v>
      </c>
      <c r="E1540" t="s">
        <v>16</v>
      </c>
      <c r="F1540" t="s">
        <v>17</v>
      </c>
      <c r="G1540" t="str">
        <f>"02"</f>
        <v>02</v>
      </c>
      <c r="H1540" t="str">
        <f>"7  "</f>
        <v xml:space="preserve">7  </v>
      </c>
      <c r="I1540" t="str">
        <f>"1999/12/09"</f>
        <v>1999/12/09</v>
      </c>
      <c r="J1540" t="str">
        <f>"503"</f>
        <v>503</v>
      </c>
      <c r="K1540" t="s">
        <v>18</v>
      </c>
      <c r="L1540" t="s">
        <v>18</v>
      </c>
      <c r="M1540" t="str">
        <f>"19840730"</f>
        <v>19840730</v>
      </c>
    </row>
    <row r="1541" spans="1:13" x14ac:dyDescent="0.25">
      <c r="A1541" t="str">
        <f>"00195039"</f>
        <v>00195039</v>
      </c>
      <c r="B1541" t="s">
        <v>3448</v>
      </c>
      <c r="C1541" t="s">
        <v>3449</v>
      </c>
      <c r="D1541" t="s">
        <v>37</v>
      </c>
      <c r="E1541" t="s">
        <v>26</v>
      </c>
      <c r="F1541" t="s">
        <v>17</v>
      </c>
      <c r="G1541" t="str">
        <f>"02"</f>
        <v>02</v>
      </c>
      <c r="H1541" t="str">
        <f>"3  "</f>
        <v xml:space="preserve">3  </v>
      </c>
      <c r="I1541" t="str">
        <f>"2019/04/18"</f>
        <v>2019/04/18</v>
      </c>
      <c r="J1541" t="str">
        <f>"506"</f>
        <v>506</v>
      </c>
      <c r="K1541" t="str">
        <f>"20220402"</f>
        <v>20220402</v>
      </c>
      <c r="L1541" t="s">
        <v>18</v>
      </c>
      <c r="M1541" t="str">
        <f>"20190319"</f>
        <v>20190319</v>
      </c>
    </row>
    <row r="1542" spans="1:13" x14ac:dyDescent="0.25">
      <c r="A1542" t="str">
        <f>"00388601"</f>
        <v>00388601</v>
      </c>
      <c r="B1542" t="s">
        <v>3450</v>
      </c>
      <c r="C1542" t="s">
        <v>777</v>
      </c>
      <c r="D1542" t="s">
        <v>61</v>
      </c>
      <c r="E1542" t="s">
        <v>26</v>
      </c>
      <c r="F1542" t="s">
        <v>17</v>
      </c>
      <c r="G1542" t="str">
        <f>"02"</f>
        <v>02</v>
      </c>
      <c r="H1542" t="str">
        <f>"7  "</f>
        <v xml:space="preserve">7  </v>
      </c>
      <c r="I1542" t="str">
        <f>"2005/06/20"</f>
        <v>2005/06/20</v>
      </c>
      <c r="J1542" t="str">
        <f>"110"</f>
        <v>110</v>
      </c>
      <c r="K1542" t="s">
        <v>18</v>
      </c>
      <c r="L1542" t="s">
        <v>18</v>
      </c>
      <c r="M1542" t="str">
        <f>"20031212"</f>
        <v>20031212</v>
      </c>
    </row>
    <row r="1543" spans="1:13" x14ac:dyDescent="0.25">
      <c r="A1543" t="str">
        <f>"00297982"</f>
        <v>00297982</v>
      </c>
      <c r="B1543" t="s">
        <v>3450</v>
      </c>
      <c r="C1543" t="s">
        <v>3451</v>
      </c>
      <c r="D1543" t="s">
        <v>15</v>
      </c>
      <c r="E1543" t="s">
        <v>16</v>
      </c>
      <c r="F1543" t="s">
        <v>17</v>
      </c>
      <c r="G1543" t="str">
        <f>"02"</f>
        <v>02</v>
      </c>
      <c r="H1543" t="str">
        <f>"3  "</f>
        <v xml:space="preserve">3  </v>
      </c>
      <c r="I1543" t="str">
        <f>"2020/09/21"</f>
        <v>2020/09/21</v>
      </c>
      <c r="J1543" t="str">
        <f>"503"</f>
        <v>503</v>
      </c>
      <c r="K1543" t="str">
        <f>"20320908"</f>
        <v>20320908</v>
      </c>
      <c r="L1543" t="s">
        <v>18</v>
      </c>
      <c r="M1543" t="str">
        <f>"20190221"</f>
        <v>20190221</v>
      </c>
    </row>
    <row r="1544" spans="1:13" x14ac:dyDescent="0.25">
      <c r="A1544" t="str">
        <f>"00169841"</f>
        <v>00169841</v>
      </c>
      <c r="B1544" t="s">
        <v>3450</v>
      </c>
      <c r="C1544" t="s">
        <v>258</v>
      </c>
      <c r="D1544" t="s">
        <v>37</v>
      </c>
      <c r="E1544" t="s">
        <v>16</v>
      </c>
      <c r="F1544" t="s">
        <v>17</v>
      </c>
      <c r="G1544" t="str">
        <f>"02"</f>
        <v>02</v>
      </c>
      <c r="H1544" t="str">
        <f>"7  "</f>
        <v xml:space="preserve">7  </v>
      </c>
      <c r="I1544" t="str">
        <f>"2002/12/20"</f>
        <v>2002/12/20</v>
      </c>
      <c r="J1544" t="str">
        <f>"503"</f>
        <v>503</v>
      </c>
      <c r="K1544" t="s">
        <v>18</v>
      </c>
      <c r="L1544" t="str">
        <f>"20270129"</f>
        <v>20270129</v>
      </c>
      <c r="M1544" t="str">
        <f>"19850516"</f>
        <v>19850516</v>
      </c>
    </row>
    <row r="1545" spans="1:13" x14ac:dyDescent="0.25">
      <c r="A1545" t="str">
        <f>"00575577"</f>
        <v>00575577</v>
      </c>
      <c r="B1545" t="s">
        <v>3450</v>
      </c>
      <c r="C1545" t="s">
        <v>578</v>
      </c>
      <c r="D1545" t="s">
        <v>40</v>
      </c>
      <c r="E1545" t="s">
        <v>26</v>
      </c>
      <c r="F1545" t="s">
        <v>17</v>
      </c>
      <c r="G1545" t="str">
        <f>"02"</f>
        <v>02</v>
      </c>
      <c r="H1545" t="str">
        <f>"3  "</f>
        <v xml:space="preserve">3  </v>
      </c>
      <c r="I1545" t="str">
        <f>"2012/12/14"</f>
        <v>2012/12/14</v>
      </c>
      <c r="J1545" t="str">
        <f>"510"</f>
        <v>510</v>
      </c>
      <c r="K1545" t="str">
        <f>"20381004"</f>
        <v>20381004</v>
      </c>
      <c r="L1545" t="s">
        <v>18</v>
      </c>
      <c r="M1545" t="str">
        <f>"20110129"</f>
        <v>20110129</v>
      </c>
    </row>
    <row r="1546" spans="1:13" x14ac:dyDescent="0.25">
      <c r="A1546" t="str">
        <f>"00450485"</f>
        <v>00450485</v>
      </c>
      <c r="B1546" t="s">
        <v>3450</v>
      </c>
      <c r="C1546" t="s">
        <v>1153</v>
      </c>
      <c r="D1546" t="s">
        <v>51</v>
      </c>
      <c r="E1546" t="s">
        <v>26</v>
      </c>
      <c r="F1546" t="s">
        <v>17</v>
      </c>
      <c r="G1546" t="str">
        <f>"02"</f>
        <v>02</v>
      </c>
      <c r="H1546" t="str">
        <f>"7  "</f>
        <v xml:space="preserve">7  </v>
      </c>
      <c r="I1546" t="str">
        <f>"2019/03/06"</f>
        <v>2019/03/06</v>
      </c>
      <c r="J1546" t="str">
        <f>"531"</f>
        <v>531</v>
      </c>
      <c r="K1546" t="s">
        <v>18</v>
      </c>
      <c r="L1546" t="s">
        <v>18</v>
      </c>
      <c r="M1546" t="str">
        <f>"20111219"</f>
        <v>20111219</v>
      </c>
    </row>
    <row r="1547" spans="1:13" x14ac:dyDescent="0.25">
      <c r="A1547" t="str">
        <f>"00229405"</f>
        <v>00229405</v>
      </c>
      <c r="B1547" t="s">
        <v>3450</v>
      </c>
      <c r="C1547" t="s">
        <v>333</v>
      </c>
      <c r="D1547" t="s">
        <v>15</v>
      </c>
      <c r="E1547" t="s">
        <v>16</v>
      </c>
      <c r="F1547" t="s">
        <v>17</v>
      </c>
      <c r="G1547" t="str">
        <f>"02"</f>
        <v>02</v>
      </c>
      <c r="H1547" t="str">
        <f>"3  "</f>
        <v xml:space="preserve">3  </v>
      </c>
      <c r="I1547" t="str">
        <f>"2018/09/06"</f>
        <v>2018/09/06</v>
      </c>
      <c r="J1547" t="str">
        <f>"503"</f>
        <v>503</v>
      </c>
      <c r="K1547" t="str">
        <f>"20260131"</f>
        <v>20260131</v>
      </c>
      <c r="L1547" t="s">
        <v>18</v>
      </c>
      <c r="M1547" t="str">
        <f>"20180328"</f>
        <v>20180328</v>
      </c>
    </row>
    <row r="1548" spans="1:13" x14ac:dyDescent="0.25">
      <c r="A1548" t="str">
        <f>"00732025"</f>
        <v>00732025</v>
      </c>
      <c r="B1548" t="s">
        <v>3450</v>
      </c>
      <c r="C1548" t="s">
        <v>524</v>
      </c>
      <c r="D1548" t="s">
        <v>45</v>
      </c>
      <c r="E1548" t="s">
        <v>16</v>
      </c>
      <c r="F1548" t="s">
        <v>17</v>
      </c>
      <c r="G1548" t="str">
        <f>"02"</f>
        <v>02</v>
      </c>
      <c r="H1548" t="str">
        <f>"3  "</f>
        <v xml:space="preserve">3  </v>
      </c>
      <c r="I1548" t="str">
        <f>"2020/09/02"</f>
        <v>2020/09/02</v>
      </c>
      <c r="J1548" t="str">
        <f>"533"</f>
        <v>533</v>
      </c>
      <c r="K1548" t="str">
        <f>"20280311"</f>
        <v>20280311</v>
      </c>
      <c r="L1548" t="s">
        <v>18</v>
      </c>
      <c r="M1548" t="str">
        <f>"20121204"</f>
        <v>20121204</v>
      </c>
    </row>
    <row r="1549" spans="1:13" x14ac:dyDescent="0.25">
      <c r="A1549" t="str">
        <f>"00192254"</f>
        <v>00192254</v>
      </c>
      <c r="B1549" t="s">
        <v>3450</v>
      </c>
      <c r="C1549" t="s">
        <v>754</v>
      </c>
      <c r="D1549" t="s">
        <v>16</v>
      </c>
      <c r="E1549" t="s">
        <v>26</v>
      </c>
      <c r="F1549" t="s">
        <v>17</v>
      </c>
      <c r="G1549" t="str">
        <f>"02"</f>
        <v>02</v>
      </c>
      <c r="H1549" t="str">
        <f>"3  "</f>
        <v xml:space="preserve">3  </v>
      </c>
      <c r="I1549" t="str">
        <f>"2004/06/21"</f>
        <v>2004/06/21</v>
      </c>
      <c r="J1549" t="str">
        <f>"531"</f>
        <v>531</v>
      </c>
      <c r="K1549" t="str">
        <f>"20201030"</f>
        <v>20201030</v>
      </c>
      <c r="L1549" t="s">
        <v>18</v>
      </c>
      <c r="M1549" t="str">
        <f>"19931009"</f>
        <v>19931009</v>
      </c>
    </row>
    <row r="1550" spans="1:13" x14ac:dyDescent="0.25">
      <c r="A1550" t="str">
        <f>"00553669"</f>
        <v>00553669</v>
      </c>
      <c r="B1550" t="s">
        <v>3450</v>
      </c>
      <c r="C1550" t="s">
        <v>772</v>
      </c>
      <c r="D1550" t="s">
        <v>91</v>
      </c>
      <c r="E1550" t="s">
        <v>16</v>
      </c>
      <c r="F1550" t="s">
        <v>17</v>
      </c>
      <c r="G1550" t="str">
        <f>"02"</f>
        <v>02</v>
      </c>
      <c r="H1550" t="str">
        <f>"3  "</f>
        <v xml:space="preserve">3  </v>
      </c>
      <c r="I1550" t="str">
        <f>"2020/09/02"</f>
        <v>2020/09/02</v>
      </c>
      <c r="J1550" t="str">
        <f>"533"</f>
        <v>533</v>
      </c>
      <c r="K1550" t="str">
        <f>"20301024"</f>
        <v>20301024</v>
      </c>
      <c r="L1550" t="s">
        <v>18</v>
      </c>
      <c r="M1550" t="str">
        <f>"20151117"</f>
        <v>20151117</v>
      </c>
    </row>
    <row r="1551" spans="1:13" x14ac:dyDescent="0.25">
      <c r="A1551" t="str">
        <f>"00334475"</f>
        <v>00334475</v>
      </c>
      <c r="B1551" t="s">
        <v>3450</v>
      </c>
      <c r="C1551" t="s">
        <v>96</v>
      </c>
      <c r="D1551" t="s">
        <v>40</v>
      </c>
      <c r="E1551" t="s">
        <v>26</v>
      </c>
      <c r="F1551" t="s">
        <v>17</v>
      </c>
      <c r="G1551" t="str">
        <f>"02"</f>
        <v>02</v>
      </c>
      <c r="H1551" t="str">
        <f>"3  "</f>
        <v xml:space="preserve">3  </v>
      </c>
      <c r="I1551" t="str">
        <f>"2016/04/29"</f>
        <v>2016/04/29</v>
      </c>
      <c r="J1551" t="str">
        <f>"110"</f>
        <v>110</v>
      </c>
      <c r="K1551" t="str">
        <f>"20270417"</f>
        <v>20270417</v>
      </c>
      <c r="L1551" t="s">
        <v>18</v>
      </c>
      <c r="M1551" t="str">
        <f>"20150909"</f>
        <v>20150909</v>
      </c>
    </row>
    <row r="1552" spans="1:13" x14ac:dyDescent="0.25">
      <c r="A1552" t="str">
        <f>"00162722"</f>
        <v>00162722</v>
      </c>
      <c r="B1552" t="s">
        <v>3450</v>
      </c>
      <c r="C1552" t="s">
        <v>3455</v>
      </c>
      <c r="D1552" t="s">
        <v>53</v>
      </c>
      <c r="E1552" t="s">
        <v>26</v>
      </c>
      <c r="F1552" t="s">
        <v>17</v>
      </c>
      <c r="G1552" t="str">
        <f>"02"</f>
        <v>02</v>
      </c>
      <c r="H1552" t="str">
        <f>"3  "</f>
        <v xml:space="preserve">3  </v>
      </c>
      <c r="I1552" t="str">
        <f>"2009/05/14"</f>
        <v>2009/05/14</v>
      </c>
      <c r="J1552" t="str">
        <f>"510"</f>
        <v>510</v>
      </c>
      <c r="K1552" t="str">
        <f>"20220915"</f>
        <v>20220915</v>
      </c>
      <c r="L1552" t="str">
        <f>"20160426"</f>
        <v>20160426</v>
      </c>
      <c r="M1552" t="str">
        <f>"20080203"</f>
        <v>20080203</v>
      </c>
    </row>
    <row r="1553" spans="1:13" x14ac:dyDescent="0.25">
      <c r="A1553" t="str">
        <f>"00249574"</f>
        <v>00249574</v>
      </c>
      <c r="B1553" t="s">
        <v>3450</v>
      </c>
      <c r="C1553" t="s">
        <v>938</v>
      </c>
      <c r="D1553" t="s">
        <v>51</v>
      </c>
      <c r="E1553" t="s">
        <v>26</v>
      </c>
      <c r="F1553" t="s">
        <v>17</v>
      </c>
      <c r="G1553" t="str">
        <f>"02"</f>
        <v>02</v>
      </c>
      <c r="H1553" t="str">
        <f>"3  "</f>
        <v xml:space="preserve">3  </v>
      </c>
      <c r="I1553" t="str">
        <f>"2014/02/25"</f>
        <v>2014/02/25</v>
      </c>
      <c r="J1553" t="str">
        <f>"110"</f>
        <v>110</v>
      </c>
      <c r="K1553" t="str">
        <f>"20211030"</f>
        <v>20211030</v>
      </c>
      <c r="L1553" t="s">
        <v>18</v>
      </c>
      <c r="M1553" t="str">
        <f>"20130928"</f>
        <v>20130928</v>
      </c>
    </row>
    <row r="1554" spans="1:13" x14ac:dyDescent="0.25">
      <c r="A1554" t="str">
        <f>"00469798"</f>
        <v>00469798</v>
      </c>
      <c r="B1554" t="s">
        <v>3450</v>
      </c>
      <c r="C1554" t="s">
        <v>327</v>
      </c>
      <c r="D1554" t="s">
        <v>25</v>
      </c>
      <c r="E1554" t="s">
        <v>26</v>
      </c>
      <c r="F1554" t="s">
        <v>17</v>
      </c>
      <c r="G1554" t="str">
        <f>"02"</f>
        <v>02</v>
      </c>
      <c r="H1554" t="str">
        <f>"7  "</f>
        <v xml:space="preserve">7  </v>
      </c>
      <c r="I1554" t="str">
        <f>"2008/03/03"</f>
        <v>2008/03/03</v>
      </c>
      <c r="J1554" t="str">
        <f>"510"</f>
        <v>510</v>
      </c>
      <c r="K1554" t="s">
        <v>18</v>
      </c>
      <c r="L1554" t="s">
        <v>18</v>
      </c>
      <c r="M1554" t="str">
        <f>"20051111"</f>
        <v>20051111</v>
      </c>
    </row>
    <row r="1555" spans="1:13" x14ac:dyDescent="0.25">
      <c r="A1555" t="str">
        <f>"00523242"</f>
        <v>00523242</v>
      </c>
      <c r="B1555" t="s">
        <v>3450</v>
      </c>
      <c r="C1555" t="s">
        <v>398</v>
      </c>
      <c r="D1555" t="s">
        <v>53</v>
      </c>
      <c r="E1555" t="s">
        <v>26</v>
      </c>
      <c r="F1555" t="s">
        <v>17</v>
      </c>
      <c r="G1555" t="str">
        <f>"02"</f>
        <v>02</v>
      </c>
      <c r="H1555" t="str">
        <f>"3  "</f>
        <v xml:space="preserve">3  </v>
      </c>
      <c r="I1555" t="str">
        <f>"2019/07/18"</f>
        <v>2019/07/18</v>
      </c>
      <c r="J1555" t="str">
        <f>"506"</f>
        <v>506</v>
      </c>
      <c r="K1555" t="str">
        <f>"20390307"</f>
        <v>20390307</v>
      </c>
      <c r="L1555" t="s">
        <v>18</v>
      </c>
      <c r="M1555" t="str">
        <f>"20190627"</f>
        <v>20190627</v>
      </c>
    </row>
    <row r="1556" spans="1:13" x14ac:dyDescent="0.25">
      <c r="A1556" t="str">
        <f>"00712071"</f>
        <v>00712071</v>
      </c>
      <c r="B1556" t="s">
        <v>3450</v>
      </c>
      <c r="C1556" t="s">
        <v>3457</v>
      </c>
      <c r="D1556" t="s">
        <v>53</v>
      </c>
      <c r="E1556" t="s">
        <v>26</v>
      </c>
      <c r="F1556" t="s">
        <v>17</v>
      </c>
      <c r="G1556" t="str">
        <f>"02"</f>
        <v>02</v>
      </c>
      <c r="H1556" t="str">
        <f>"3  "</f>
        <v xml:space="preserve">3  </v>
      </c>
      <c r="I1556" t="str">
        <f>"2013/09/06"</f>
        <v>2013/09/06</v>
      </c>
      <c r="J1556" t="str">
        <f>"510"</f>
        <v>510</v>
      </c>
      <c r="K1556" t="str">
        <f>"20240702"</f>
        <v>20240702</v>
      </c>
      <c r="L1556" t="s">
        <v>18</v>
      </c>
      <c r="M1556" t="str">
        <f>"20120603"</f>
        <v>20120603</v>
      </c>
    </row>
    <row r="1557" spans="1:13" x14ac:dyDescent="0.25">
      <c r="A1557" t="str">
        <f>"00090228"</f>
        <v>00090228</v>
      </c>
      <c r="B1557" t="s">
        <v>3450</v>
      </c>
      <c r="C1557" t="s">
        <v>408</v>
      </c>
      <c r="D1557" t="s">
        <v>51</v>
      </c>
      <c r="E1557" t="s">
        <v>26</v>
      </c>
      <c r="F1557" t="s">
        <v>17</v>
      </c>
      <c r="G1557" t="str">
        <f>"02"</f>
        <v>02</v>
      </c>
      <c r="H1557" t="str">
        <f>"7  "</f>
        <v xml:space="preserve">7  </v>
      </c>
      <c r="I1557" t="str">
        <f>"1980/07/30"</f>
        <v>1980/07/30</v>
      </c>
      <c r="J1557" t="str">
        <f>"314"</f>
        <v>314</v>
      </c>
      <c r="K1557" t="s">
        <v>18</v>
      </c>
      <c r="L1557" t="str">
        <f>"20130623"</f>
        <v>20130623</v>
      </c>
      <c r="M1557" t="str">
        <f>"19800322"</f>
        <v>19800322</v>
      </c>
    </row>
    <row r="1558" spans="1:13" x14ac:dyDescent="0.25">
      <c r="A1558" t="str">
        <f>"00186178"</f>
        <v>00186178</v>
      </c>
      <c r="B1558" t="s">
        <v>3450</v>
      </c>
      <c r="C1558" t="s">
        <v>55</v>
      </c>
      <c r="D1558" t="s">
        <v>51</v>
      </c>
      <c r="E1558" t="s">
        <v>26</v>
      </c>
      <c r="F1558" t="s">
        <v>17</v>
      </c>
      <c r="G1558" t="str">
        <f>"02"</f>
        <v>02</v>
      </c>
      <c r="H1558" t="str">
        <f>"7  "</f>
        <v xml:space="preserve">7  </v>
      </c>
      <c r="I1558" t="str">
        <f>"2019/09/27"</f>
        <v>2019/09/27</v>
      </c>
      <c r="J1558" t="str">
        <f>"510"</f>
        <v>510</v>
      </c>
      <c r="K1558" t="s">
        <v>18</v>
      </c>
      <c r="L1558" t="s">
        <v>18</v>
      </c>
      <c r="M1558" t="str">
        <f>"20160218"</f>
        <v>20160218</v>
      </c>
    </row>
    <row r="1559" spans="1:13" x14ac:dyDescent="0.25">
      <c r="A1559" t="str">
        <f>"00723982"</f>
        <v>00723982</v>
      </c>
      <c r="B1559" t="s">
        <v>3450</v>
      </c>
      <c r="C1559" t="s">
        <v>755</v>
      </c>
      <c r="D1559" t="s">
        <v>97</v>
      </c>
      <c r="E1559" t="s">
        <v>16</v>
      </c>
      <c r="F1559" t="s">
        <v>17</v>
      </c>
      <c r="G1559" t="str">
        <f>"02"</f>
        <v>02</v>
      </c>
      <c r="H1559" t="str">
        <f>"3  "</f>
        <v xml:space="preserve">3  </v>
      </c>
      <c r="I1559" t="str">
        <f>"2020/07/21"</f>
        <v>2020/07/21</v>
      </c>
      <c r="J1559" t="str">
        <f>"533"</f>
        <v>533</v>
      </c>
      <c r="K1559" t="str">
        <f>"20300814"</f>
        <v>20300814</v>
      </c>
      <c r="L1559" t="s">
        <v>18</v>
      </c>
      <c r="M1559" t="str">
        <f>"20120815"</f>
        <v>20120815</v>
      </c>
    </row>
    <row r="1560" spans="1:13" x14ac:dyDescent="0.25">
      <c r="A1560" t="str">
        <f>"00785355"</f>
        <v>00785355</v>
      </c>
      <c r="B1560" t="s">
        <v>3450</v>
      </c>
      <c r="C1560" t="s">
        <v>3464</v>
      </c>
      <c r="D1560" t="s">
        <v>40</v>
      </c>
      <c r="E1560" t="s">
        <v>26</v>
      </c>
      <c r="F1560" t="s">
        <v>17</v>
      </c>
      <c r="G1560" t="str">
        <f>"02"</f>
        <v>02</v>
      </c>
      <c r="H1560" t="str">
        <f>"3  "</f>
        <v xml:space="preserve">3  </v>
      </c>
      <c r="I1560" t="str">
        <f>"2020/03/02"</f>
        <v>2020/03/02</v>
      </c>
      <c r="J1560" t="str">
        <f>"510"</f>
        <v>510</v>
      </c>
      <c r="K1560" t="str">
        <f>"20350513"</f>
        <v>20350513</v>
      </c>
      <c r="L1560" t="s">
        <v>18</v>
      </c>
      <c r="M1560" t="str">
        <f>"20160531"</f>
        <v>20160531</v>
      </c>
    </row>
    <row r="1561" spans="1:13" x14ac:dyDescent="0.25">
      <c r="A1561" t="str">
        <f>"00281809"</f>
        <v>00281809</v>
      </c>
      <c r="B1561" t="s">
        <v>3468</v>
      </c>
      <c r="C1561" t="s">
        <v>327</v>
      </c>
      <c r="D1561" t="s">
        <v>121</v>
      </c>
      <c r="E1561" t="s">
        <v>26</v>
      </c>
      <c r="F1561" t="s">
        <v>17</v>
      </c>
      <c r="G1561" t="str">
        <f>"02"</f>
        <v>02</v>
      </c>
      <c r="H1561" t="str">
        <f>"3  "</f>
        <v xml:space="preserve">3  </v>
      </c>
      <c r="I1561" t="str">
        <f>"2018/08/02"</f>
        <v>2018/08/02</v>
      </c>
      <c r="J1561" t="str">
        <f>"110"</f>
        <v>110</v>
      </c>
      <c r="K1561" t="str">
        <f>"20460531"</f>
        <v>20460531</v>
      </c>
      <c r="L1561" t="s">
        <v>18</v>
      </c>
      <c r="M1561" t="str">
        <f>"20170429"</f>
        <v>20170429</v>
      </c>
    </row>
    <row r="1562" spans="1:13" x14ac:dyDescent="0.25">
      <c r="A1562" t="str">
        <f>"00688666"</f>
        <v>00688666</v>
      </c>
      <c r="B1562" t="s">
        <v>3475</v>
      </c>
      <c r="C1562" t="s">
        <v>189</v>
      </c>
      <c r="D1562" t="s">
        <v>25</v>
      </c>
      <c r="E1562" t="s">
        <v>16</v>
      </c>
      <c r="F1562" t="s">
        <v>17</v>
      </c>
      <c r="G1562" t="str">
        <f>"02"</f>
        <v>02</v>
      </c>
      <c r="H1562" t="str">
        <f>"3  "</f>
        <v xml:space="preserve">3  </v>
      </c>
      <c r="I1562" t="str">
        <f>"2019/02/11"</f>
        <v>2019/02/11</v>
      </c>
      <c r="J1562" t="str">
        <f>"510"</f>
        <v>510</v>
      </c>
      <c r="K1562" t="str">
        <f>"20241117"</f>
        <v>20241117</v>
      </c>
      <c r="L1562" t="s">
        <v>18</v>
      </c>
      <c r="M1562" t="str">
        <f>"20171005"</f>
        <v>20171005</v>
      </c>
    </row>
    <row r="1563" spans="1:13" x14ac:dyDescent="0.25">
      <c r="A1563" t="str">
        <f>"00502039"</f>
        <v>00502039</v>
      </c>
      <c r="B1563" t="s">
        <v>3476</v>
      </c>
      <c r="C1563" t="s">
        <v>2430</v>
      </c>
      <c r="D1563" t="s">
        <v>15</v>
      </c>
      <c r="E1563" t="s">
        <v>26</v>
      </c>
      <c r="F1563" t="s">
        <v>17</v>
      </c>
      <c r="G1563" t="str">
        <f>"02"</f>
        <v>02</v>
      </c>
      <c r="H1563" t="str">
        <f>"3  "</f>
        <v xml:space="preserve">3  </v>
      </c>
      <c r="I1563" t="str">
        <f>"2016/02/11"</f>
        <v>2016/02/11</v>
      </c>
      <c r="J1563" t="str">
        <f>"110"</f>
        <v>110</v>
      </c>
      <c r="K1563" t="str">
        <f>"20211126"</f>
        <v>20211126</v>
      </c>
      <c r="L1563" t="s">
        <v>18</v>
      </c>
      <c r="M1563" t="str">
        <f>"20160108"</f>
        <v>20160108</v>
      </c>
    </row>
    <row r="1564" spans="1:13" x14ac:dyDescent="0.25">
      <c r="A1564" t="str">
        <f>"00589309"</f>
        <v>00589309</v>
      </c>
      <c r="B1564" t="s">
        <v>3476</v>
      </c>
      <c r="C1564" t="s">
        <v>75</v>
      </c>
      <c r="D1564" t="s">
        <v>25</v>
      </c>
      <c r="E1564" t="s">
        <v>26</v>
      </c>
      <c r="F1564" t="s">
        <v>17</v>
      </c>
      <c r="G1564" t="str">
        <f>"02"</f>
        <v>02</v>
      </c>
      <c r="H1564" t="str">
        <f>"3  "</f>
        <v xml:space="preserve">3  </v>
      </c>
      <c r="I1564" t="str">
        <f>"2018/04/20"</f>
        <v>2018/04/20</v>
      </c>
      <c r="J1564" t="str">
        <f>"510"</f>
        <v>510</v>
      </c>
      <c r="K1564" t="str">
        <f>"20220511"</f>
        <v>20220511</v>
      </c>
      <c r="L1564" t="s">
        <v>18</v>
      </c>
      <c r="M1564" t="str">
        <f>"20170118"</f>
        <v>20170118</v>
      </c>
    </row>
    <row r="1565" spans="1:13" x14ac:dyDescent="0.25">
      <c r="A1565" t="str">
        <f>"00418929"</f>
        <v>00418929</v>
      </c>
      <c r="B1565" t="s">
        <v>3482</v>
      </c>
      <c r="C1565" t="s">
        <v>140</v>
      </c>
      <c r="D1565" t="s">
        <v>21</v>
      </c>
      <c r="E1565" t="s">
        <v>26</v>
      </c>
      <c r="F1565" t="s">
        <v>17</v>
      </c>
      <c r="G1565" t="str">
        <f>"02"</f>
        <v>02</v>
      </c>
      <c r="H1565" t="str">
        <f>"7  "</f>
        <v xml:space="preserve">7  </v>
      </c>
      <c r="I1565" t="str">
        <f>"2014/11/17"</f>
        <v>2014/11/17</v>
      </c>
      <c r="J1565" t="str">
        <f>"510"</f>
        <v>510</v>
      </c>
      <c r="K1565" t="s">
        <v>18</v>
      </c>
      <c r="L1565" t="s">
        <v>18</v>
      </c>
      <c r="M1565" t="str">
        <f>"20120814"</f>
        <v>20120814</v>
      </c>
    </row>
    <row r="1566" spans="1:13" x14ac:dyDescent="0.25">
      <c r="A1566" t="str">
        <f>"00320684"</f>
        <v>00320684</v>
      </c>
      <c r="B1566" t="s">
        <v>3485</v>
      </c>
      <c r="C1566" t="s">
        <v>3486</v>
      </c>
      <c r="D1566" t="s">
        <v>15</v>
      </c>
      <c r="E1566" t="s">
        <v>26</v>
      </c>
      <c r="F1566" t="s">
        <v>17</v>
      </c>
      <c r="G1566" t="str">
        <f>"02"</f>
        <v>02</v>
      </c>
      <c r="H1566" t="str">
        <f>"3  "</f>
        <v xml:space="preserve">3  </v>
      </c>
      <c r="I1566" t="str">
        <f>"2018/02/12"</f>
        <v>2018/02/12</v>
      </c>
      <c r="J1566" t="str">
        <f>"510"</f>
        <v>510</v>
      </c>
      <c r="K1566" t="str">
        <f>"20470420"</f>
        <v>20470420</v>
      </c>
      <c r="L1566" t="s">
        <v>18</v>
      </c>
      <c r="M1566" t="str">
        <f>"20160907"</f>
        <v>20160907</v>
      </c>
    </row>
    <row r="1567" spans="1:13" x14ac:dyDescent="0.25">
      <c r="A1567" t="str">
        <f>"00312677"</f>
        <v>00312677</v>
      </c>
      <c r="B1567" t="s">
        <v>3487</v>
      </c>
      <c r="C1567" t="s">
        <v>59</v>
      </c>
      <c r="D1567" t="s">
        <v>45</v>
      </c>
      <c r="E1567" t="s">
        <v>16</v>
      </c>
      <c r="F1567" t="s">
        <v>17</v>
      </c>
      <c r="G1567" t="str">
        <f>"02"</f>
        <v>02</v>
      </c>
      <c r="H1567" t="str">
        <f>"3  "</f>
        <v xml:space="preserve">3  </v>
      </c>
      <c r="I1567" t="str">
        <f>"2017/04/18"</f>
        <v>2017/04/18</v>
      </c>
      <c r="J1567" t="str">
        <f>"120"</f>
        <v>120</v>
      </c>
      <c r="K1567" t="str">
        <f>"20360820"</f>
        <v>20360820</v>
      </c>
      <c r="L1567" t="s">
        <v>18</v>
      </c>
      <c r="M1567" t="str">
        <f>"20170403"</f>
        <v>20170403</v>
      </c>
    </row>
    <row r="1568" spans="1:13" x14ac:dyDescent="0.25">
      <c r="A1568" t="str">
        <f>"00786306"</f>
        <v>00786306</v>
      </c>
      <c r="B1568" t="s">
        <v>3495</v>
      </c>
      <c r="C1568" t="s">
        <v>14</v>
      </c>
      <c r="D1568" t="s">
        <v>25</v>
      </c>
      <c r="E1568" t="s">
        <v>26</v>
      </c>
      <c r="F1568" t="s">
        <v>17</v>
      </c>
      <c r="G1568" t="str">
        <f>"02"</f>
        <v>02</v>
      </c>
      <c r="H1568" t="str">
        <f>"3  "</f>
        <v xml:space="preserve">3  </v>
      </c>
      <c r="I1568" t="str">
        <f>"2018/02/27"</f>
        <v>2018/02/27</v>
      </c>
      <c r="J1568" t="str">
        <f>"510"</f>
        <v>510</v>
      </c>
      <c r="K1568" t="str">
        <f>"20230509"</f>
        <v>20230509</v>
      </c>
      <c r="L1568" t="s">
        <v>18</v>
      </c>
      <c r="M1568" t="str">
        <f>"20160218"</f>
        <v>20160218</v>
      </c>
    </row>
    <row r="1569" spans="1:13" x14ac:dyDescent="0.25">
      <c r="A1569" t="str">
        <f>"00349850"</f>
        <v>00349850</v>
      </c>
      <c r="B1569" t="s">
        <v>3496</v>
      </c>
      <c r="C1569" t="s">
        <v>799</v>
      </c>
      <c r="D1569" t="s">
        <v>51</v>
      </c>
      <c r="E1569" t="s">
        <v>16</v>
      </c>
      <c r="F1569" t="s">
        <v>17</v>
      </c>
      <c r="G1569" t="str">
        <f>"02"</f>
        <v>02</v>
      </c>
      <c r="H1569" t="str">
        <f>"3  "</f>
        <v xml:space="preserve">3  </v>
      </c>
      <c r="I1569" t="str">
        <f>"2017/11/20"</f>
        <v>2017/11/20</v>
      </c>
      <c r="J1569" t="str">
        <f>"510"</f>
        <v>510</v>
      </c>
      <c r="K1569" t="str">
        <f>"20270429"</f>
        <v>20270429</v>
      </c>
      <c r="L1569" t="s">
        <v>18</v>
      </c>
      <c r="M1569" t="str">
        <f>"20160623"</f>
        <v>20160623</v>
      </c>
    </row>
    <row r="1570" spans="1:13" x14ac:dyDescent="0.25">
      <c r="A1570" t="str">
        <f>"00643867"</f>
        <v>00643867</v>
      </c>
      <c r="B1570" t="s">
        <v>3497</v>
      </c>
      <c r="C1570" t="s">
        <v>118</v>
      </c>
      <c r="D1570" t="s">
        <v>16</v>
      </c>
      <c r="E1570" t="s">
        <v>16</v>
      </c>
      <c r="F1570" t="s">
        <v>17</v>
      </c>
      <c r="G1570" t="str">
        <f>"02"</f>
        <v>02</v>
      </c>
      <c r="H1570" t="str">
        <f>"3  "</f>
        <v xml:space="preserve">3  </v>
      </c>
      <c r="I1570" t="str">
        <f>"2010/07/20"</f>
        <v>2010/07/20</v>
      </c>
      <c r="J1570" t="str">
        <f>"510"</f>
        <v>510</v>
      </c>
      <c r="K1570" t="str">
        <f>"20270415"</f>
        <v>20270415</v>
      </c>
      <c r="L1570" t="s">
        <v>18</v>
      </c>
      <c r="M1570" t="str">
        <f>"20090529"</f>
        <v>20090529</v>
      </c>
    </row>
    <row r="1571" spans="1:13" x14ac:dyDescent="0.25">
      <c r="A1571" t="str">
        <f>"00329090"</f>
        <v>00329090</v>
      </c>
      <c r="B1571" t="s">
        <v>3499</v>
      </c>
      <c r="C1571" t="s">
        <v>176</v>
      </c>
      <c r="D1571" t="s">
        <v>16</v>
      </c>
      <c r="E1571" t="s">
        <v>16</v>
      </c>
      <c r="F1571" t="s">
        <v>17</v>
      </c>
      <c r="G1571" t="str">
        <f>"02"</f>
        <v>02</v>
      </c>
      <c r="H1571" t="str">
        <f>"3  "</f>
        <v xml:space="preserve">3  </v>
      </c>
      <c r="I1571" t="str">
        <f>"2008/09/11"</f>
        <v>2008/09/11</v>
      </c>
      <c r="J1571" t="str">
        <f>"110"</f>
        <v>110</v>
      </c>
      <c r="K1571" t="str">
        <f>"20220212"</f>
        <v>20220212</v>
      </c>
      <c r="L1571" t="s">
        <v>18</v>
      </c>
      <c r="M1571" t="str">
        <f>"20080109"</f>
        <v>20080109</v>
      </c>
    </row>
    <row r="1572" spans="1:13" x14ac:dyDescent="0.25">
      <c r="A1572" t="str">
        <f>"00662358"</f>
        <v>00662358</v>
      </c>
      <c r="B1572" t="s">
        <v>3502</v>
      </c>
      <c r="C1572" t="s">
        <v>3505</v>
      </c>
      <c r="D1572" t="s">
        <v>25</v>
      </c>
      <c r="E1572" t="s">
        <v>26</v>
      </c>
      <c r="F1572" t="s">
        <v>17</v>
      </c>
      <c r="G1572" t="str">
        <f>"02"</f>
        <v>02</v>
      </c>
      <c r="H1572" t="str">
        <f>"3  "</f>
        <v xml:space="preserve">3  </v>
      </c>
      <c r="I1572" t="str">
        <f>"2012/08/20"</f>
        <v>2012/08/20</v>
      </c>
      <c r="J1572" t="str">
        <f>"510"</f>
        <v>510</v>
      </c>
      <c r="K1572" t="str">
        <f>"20230810"</f>
        <v>20230810</v>
      </c>
      <c r="L1572" t="s">
        <v>18</v>
      </c>
      <c r="M1572" t="str">
        <f>"20101209"</f>
        <v>20101209</v>
      </c>
    </row>
    <row r="1573" spans="1:13" x14ac:dyDescent="0.25">
      <c r="A1573" t="str">
        <f>"00370304"</f>
        <v>00370304</v>
      </c>
      <c r="B1573" t="s">
        <v>3506</v>
      </c>
      <c r="C1573" t="s">
        <v>14</v>
      </c>
      <c r="D1573" t="s">
        <v>15</v>
      </c>
      <c r="E1573" t="s">
        <v>26</v>
      </c>
      <c r="F1573" t="s">
        <v>17</v>
      </c>
      <c r="G1573" t="str">
        <f>"02"</f>
        <v>02</v>
      </c>
      <c r="H1573" t="str">
        <f>"3  "</f>
        <v xml:space="preserve">3  </v>
      </c>
      <c r="I1573" t="str">
        <f>"2020/09/16"</f>
        <v>2020/09/16</v>
      </c>
      <c r="J1573" t="str">
        <f>"533"</f>
        <v>533</v>
      </c>
      <c r="K1573" t="str">
        <f>"20530817"</f>
        <v>20530817</v>
      </c>
      <c r="L1573" t="s">
        <v>18</v>
      </c>
      <c r="M1573" t="str">
        <f>"20110823"</f>
        <v>20110823</v>
      </c>
    </row>
    <row r="1574" spans="1:13" x14ac:dyDescent="0.25">
      <c r="A1574" t="str">
        <f>"00157596"</f>
        <v>00157596</v>
      </c>
      <c r="B1574" t="s">
        <v>3506</v>
      </c>
      <c r="C1574" t="s">
        <v>96</v>
      </c>
      <c r="D1574" t="s">
        <v>15</v>
      </c>
      <c r="E1574" t="s">
        <v>26</v>
      </c>
      <c r="F1574" t="s">
        <v>17</v>
      </c>
      <c r="G1574" t="str">
        <f>"02"</f>
        <v>02</v>
      </c>
      <c r="H1574" t="str">
        <f>"3  "</f>
        <v xml:space="preserve">3  </v>
      </c>
      <c r="I1574" t="str">
        <f>"2018/08/07"</f>
        <v>2018/08/07</v>
      </c>
      <c r="J1574" t="str">
        <f>"110"</f>
        <v>110</v>
      </c>
      <c r="K1574" t="str">
        <f>"20270127"</f>
        <v>20270127</v>
      </c>
      <c r="L1574" t="s">
        <v>18</v>
      </c>
      <c r="M1574" t="str">
        <f>"20180301"</f>
        <v>20180301</v>
      </c>
    </row>
    <row r="1575" spans="1:13" x14ac:dyDescent="0.25">
      <c r="A1575" t="str">
        <f>"00249572"</f>
        <v>00249572</v>
      </c>
      <c r="B1575" t="s">
        <v>3513</v>
      </c>
      <c r="C1575" t="s">
        <v>833</v>
      </c>
      <c r="D1575" t="s">
        <v>45</v>
      </c>
      <c r="E1575" t="s">
        <v>26</v>
      </c>
      <c r="F1575" t="s">
        <v>17</v>
      </c>
      <c r="G1575" t="str">
        <f>"02"</f>
        <v>02</v>
      </c>
      <c r="H1575" t="str">
        <f>"7  "</f>
        <v xml:space="preserve">7  </v>
      </c>
      <c r="I1575" t="str">
        <f>"2020/09/02"</f>
        <v>2020/09/02</v>
      </c>
      <c r="J1575" t="str">
        <f>"533"</f>
        <v>533</v>
      </c>
      <c r="K1575" t="s">
        <v>18</v>
      </c>
      <c r="L1575" t="s">
        <v>18</v>
      </c>
      <c r="M1575" t="str">
        <f>"19900610"</f>
        <v>19900610</v>
      </c>
    </row>
    <row r="1576" spans="1:13" x14ac:dyDescent="0.25">
      <c r="A1576" t="str">
        <f>"00449406"</f>
        <v>00449406</v>
      </c>
      <c r="B1576" t="s">
        <v>3517</v>
      </c>
      <c r="C1576" t="s">
        <v>398</v>
      </c>
      <c r="D1576" t="s">
        <v>37</v>
      </c>
      <c r="E1576" t="s">
        <v>26</v>
      </c>
      <c r="F1576" t="s">
        <v>17</v>
      </c>
      <c r="G1576" t="str">
        <f>"02"</f>
        <v>02</v>
      </c>
      <c r="H1576" t="str">
        <f>"7  "</f>
        <v xml:space="preserve">7  </v>
      </c>
      <c r="I1576" t="str">
        <f>"2015/09/16"</f>
        <v>2015/09/16</v>
      </c>
      <c r="J1576" t="str">
        <f>"531"</f>
        <v>531</v>
      </c>
      <c r="K1576" t="s">
        <v>18</v>
      </c>
      <c r="L1576" t="s">
        <v>18</v>
      </c>
      <c r="M1576" t="str">
        <f>"20121225"</f>
        <v>20121225</v>
      </c>
    </row>
    <row r="1577" spans="1:13" x14ac:dyDescent="0.25">
      <c r="A1577" t="str">
        <f>"00515251"</f>
        <v>00515251</v>
      </c>
      <c r="B1577" t="s">
        <v>3520</v>
      </c>
      <c r="C1577" t="s">
        <v>74</v>
      </c>
      <c r="D1577" t="s">
        <v>51</v>
      </c>
      <c r="E1577" t="s">
        <v>16</v>
      </c>
      <c r="F1577" t="s">
        <v>17</v>
      </c>
      <c r="G1577" t="str">
        <f>"02"</f>
        <v>02</v>
      </c>
      <c r="H1577" t="str">
        <f>"3  "</f>
        <v xml:space="preserve">3  </v>
      </c>
      <c r="I1577" t="str">
        <f>"2016/03/30"</f>
        <v>2016/03/30</v>
      </c>
      <c r="J1577" t="str">
        <f>"510"</f>
        <v>510</v>
      </c>
      <c r="K1577" t="str">
        <f>"20320811"</f>
        <v>20320811</v>
      </c>
      <c r="L1577" t="s">
        <v>18</v>
      </c>
      <c r="M1577" t="str">
        <f>"20140916"</f>
        <v>20140916</v>
      </c>
    </row>
    <row r="1578" spans="1:13" x14ac:dyDescent="0.25">
      <c r="A1578" t="str">
        <f>"00367132"</f>
        <v>00367132</v>
      </c>
      <c r="B1578" t="s">
        <v>3520</v>
      </c>
      <c r="C1578" t="s">
        <v>1326</v>
      </c>
      <c r="D1578" t="s">
        <v>16</v>
      </c>
      <c r="E1578" t="s">
        <v>16</v>
      </c>
      <c r="F1578" t="s">
        <v>17</v>
      </c>
      <c r="G1578" t="str">
        <f>"02"</f>
        <v>02</v>
      </c>
      <c r="H1578" t="str">
        <f>"3  "</f>
        <v xml:space="preserve">3  </v>
      </c>
      <c r="I1578" t="str">
        <f>"1999/02/24"</f>
        <v>1999/02/24</v>
      </c>
      <c r="J1578" t="str">
        <f>"502"</f>
        <v>502</v>
      </c>
      <c r="K1578" t="str">
        <f>"21590614"</f>
        <v>21590614</v>
      </c>
      <c r="L1578" t="s">
        <v>18</v>
      </c>
      <c r="M1578" t="str">
        <f>"19970325"</f>
        <v>19970325</v>
      </c>
    </row>
    <row r="1579" spans="1:13" x14ac:dyDescent="0.25">
      <c r="A1579" t="str">
        <f>"00144378"</f>
        <v>00144378</v>
      </c>
      <c r="B1579" t="s">
        <v>3521</v>
      </c>
      <c r="C1579" t="s">
        <v>14</v>
      </c>
      <c r="D1579" t="s">
        <v>25</v>
      </c>
      <c r="E1579" t="s">
        <v>26</v>
      </c>
      <c r="F1579" t="s">
        <v>17</v>
      </c>
      <c r="G1579" t="str">
        <f>"02"</f>
        <v>02</v>
      </c>
      <c r="H1579" t="str">
        <f>"7  "</f>
        <v xml:space="preserve">7  </v>
      </c>
      <c r="I1579" t="str">
        <f>"1985/06/07"</f>
        <v>1985/06/07</v>
      </c>
      <c r="J1579" t="str">
        <f>"503"</f>
        <v>503</v>
      </c>
      <c r="K1579" t="s">
        <v>18</v>
      </c>
      <c r="L1579" t="str">
        <f>"20181012"</f>
        <v>20181012</v>
      </c>
      <c r="M1579" t="str">
        <f>"19800330"</f>
        <v>19800330</v>
      </c>
    </row>
    <row r="1580" spans="1:13" x14ac:dyDescent="0.25">
      <c r="A1580" t="str">
        <f>"00317036"</f>
        <v>00317036</v>
      </c>
      <c r="B1580" t="s">
        <v>3521</v>
      </c>
      <c r="C1580" t="s">
        <v>136</v>
      </c>
      <c r="D1580" t="s">
        <v>21</v>
      </c>
      <c r="E1580" t="s">
        <v>26</v>
      </c>
      <c r="F1580" t="s">
        <v>17</v>
      </c>
      <c r="G1580" t="str">
        <f>"02"</f>
        <v>02</v>
      </c>
      <c r="H1580" t="str">
        <f>"7  "</f>
        <v xml:space="preserve">7  </v>
      </c>
      <c r="I1580" t="str">
        <f>"2006/02/03"</f>
        <v>2006/02/03</v>
      </c>
      <c r="J1580" t="str">
        <f>"110"</f>
        <v>110</v>
      </c>
      <c r="K1580" t="s">
        <v>18</v>
      </c>
      <c r="L1580" t="s">
        <v>18</v>
      </c>
      <c r="M1580" t="str">
        <f>"19951113"</f>
        <v>19951113</v>
      </c>
    </row>
    <row r="1581" spans="1:13" x14ac:dyDescent="0.25">
      <c r="A1581" t="str">
        <f>"00272785"</f>
        <v>00272785</v>
      </c>
      <c r="B1581" t="s">
        <v>3521</v>
      </c>
      <c r="C1581" t="s">
        <v>1189</v>
      </c>
      <c r="D1581" t="s">
        <v>80</v>
      </c>
      <c r="E1581" t="s">
        <v>16</v>
      </c>
      <c r="F1581" t="s">
        <v>17</v>
      </c>
      <c r="G1581" t="str">
        <f>"02"</f>
        <v>02</v>
      </c>
      <c r="H1581" t="str">
        <f>"3  "</f>
        <v xml:space="preserve">3  </v>
      </c>
      <c r="I1581" t="str">
        <f>"2016/03/22"</f>
        <v>2016/03/22</v>
      </c>
      <c r="J1581" t="str">
        <f>"510"</f>
        <v>510</v>
      </c>
      <c r="K1581" t="str">
        <f>"20590815"</f>
        <v>20590815</v>
      </c>
      <c r="L1581" t="s">
        <v>18</v>
      </c>
      <c r="M1581" t="str">
        <f>"20140702"</f>
        <v>20140702</v>
      </c>
    </row>
    <row r="1582" spans="1:13" x14ac:dyDescent="0.25">
      <c r="A1582" t="str">
        <f>"00475821"</f>
        <v>00475821</v>
      </c>
      <c r="B1582" t="s">
        <v>3521</v>
      </c>
      <c r="C1582" t="s">
        <v>685</v>
      </c>
      <c r="D1582" t="s">
        <v>51</v>
      </c>
      <c r="E1582" t="s">
        <v>26</v>
      </c>
      <c r="F1582" t="s">
        <v>17</v>
      </c>
      <c r="G1582" t="str">
        <f>"02"</f>
        <v>02</v>
      </c>
      <c r="H1582" t="str">
        <f>"3  "</f>
        <v xml:space="preserve">3  </v>
      </c>
      <c r="I1582" t="str">
        <f>"2009/12/11"</f>
        <v>2009/12/11</v>
      </c>
      <c r="J1582" t="str">
        <f>"503"</f>
        <v>503</v>
      </c>
      <c r="K1582" t="str">
        <f>"20220514"</f>
        <v>20220514</v>
      </c>
      <c r="L1582" t="s">
        <v>18</v>
      </c>
      <c r="M1582" t="str">
        <f>"20080314"</f>
        <v>20080314</v>
      </c>
    </row>
    <row r="1583" spans="1:13" x14ac:dyDescent="0.25">
      <c r="A1583" t="str">
        <f>"00480647"</f>
        <v>00480647</v>
      </c>
      <c r="B1583" t="s">
        <v>3524</v>
      </c>
      <c r="C1583" t="s">
        <v>308</v>
      </c>
      <c r="D1583" t="s">
        <v>16</v>
      </c>
      <c r="E1583" t="s">
        <v>16</v>
      </c>
      <c r="F1583" t="s">
        <v>17</v>
      </c>
      <c r="G1583" t="str">
        <f>"02"</f>
        <v>02</v>
      </c>
      <c r="H1583" t="str">
        <f>"7  "</f>
        <v xml:space="preserve">7  </v>
      </c>
      <c r="I1583" t="str">
        <f>"2003/07/25"</f>
        <v>2003/07/25</v>
      </c>
      <c r="J1583" t="str">
        <f>"510"</f>
        <v>510</v>
      </c>
      <c r="K1583" t="s">
        <v>18</v>
      </c>
      <c r="L1583" t="s">
        <v>18</v>
      </c>
      <c r="M1583" t="str">
        <f>"20020324"</f>
        <v>20020324</v>
      </c>
    </row>
    <row r="1584" spans="1:13" x14ac:dyDescent="0.25">
      <c r="A1584" t="str">
        <f>"00235106"</f>
        <v>00235106</v>
      </c>
      <c r="B1584" t="s">
        <v>3532</v>
      </c>
      <c r="C1584" t="s">
        <v>68</v>
      </c>
      <c r="D1584" t="s">
        <v>25</v>
      </c>
      <c r="E1584" t="s">
        <v>26</v>
      </c>
      <c r="F1584" t="s">
        <v>17</v>
      </c>
      <c r="G1584" t="str">
        <f>"02"</f>
        <v>02</v>
      </c>
      <c r="H1584" t="str">
        <f>"3  "</f>
        <v xml:space="preserve">3  </v>
      </c>
      <c r="I1584" t="str">
        <f>"2019/09/27"</f>
        <v>2019/09/27</v>
      </c>
      <c r="J1584" t="str">
        <f>"510"</f>
        <v>510</v>
      </c>
      <c r="K1584" t="str">
        <f>"20230814"</f>
        <v>20230814</v>
      </c>
      <c r="L1584" t="s">
        <v>18</v>
      </c>
      <c r="M1584" t="str">
        <f>"20181113"</f>
        <v>20181113</v>
      </c>
    </row>
    <row r="1585" spans="1:13" x14ac:dyDescent="0.25">
      <c r="A1585" t="str">
        <f>"00087540"</f>
        <v>00087540</v>
      </c>
      <c r="B1585" t="s">
        <v>3532</v>
      </c>
      <c r="C1585" t="s">
        <v>342</v>
      </c>
      <c r="D1585" t="s">
        <v>25</v>
      </c>
      <c r="E1585" t="s">
        <v>26</v>
      </c>
      <c r="F1585" t="s">
        <v>17</v>
      </c>
      <c r="G1585" t="str">
        <f>"02"</f>
        <v>02</v>
      </c>
      <c r="H1585" t="str">
        <f>"7  "</f>
        <v xml:space="preserve">7  </v>
      </c>
      <c r="I1585" t="str">
        <f>"2001/01/24"</f>
        <v>2001/01/24</v>
      </c>
      <c r="J1585" t="str">
        <f>"533"</f>
        <v>533</v>
      </c>
      <c r="K1585" t="s">
        <v>18</v>
      </c>
      <c r="L1585" t="s">
        <v>18</v>
      </c>
      <c r="M1585" t="str">
        <f>"19770414"</f>
        <v>19770414</v>
      </c>
    </row>
    <row r="1586" spans="1:13" x14ac:dyDescent="0.25">
      <c r="A1586" t="str">
        <f>"00317210"</f>
        <v>00317210</v>
      </c>
      <c r="B1586" t="s">
        <v>3538</v>
      </c>
      <c r="C1586" t="s">
        <v>136</v>
      </c>
      <c r="D1586" t="s">
        <v>73</v>
      </c>
      <c r="E1586" t="s">
        <v>16</v>
      </c>
      <c r="F1586" t="s">
        <v>17</v>
      </c>
      <c r="G1586" t="str">
        <f>"02"</f>
        <v>02</v>
      </c>
      <c r="H1586" t="str">
        <f>"3  "</f>
        <v xml:space="preserve">3  </v>
      </c>
      <c r="I1586" t="str">
        <f>"2014/08/22"</f>
        <v>2014/08/22</v>
      </c>
      <c r="J1586" t="str">
        <f>"510"</f>
        <v>510</v>
      </c>
      <c r="K1586" t="str">
        <f>"20290401"</f>
        <v>20290401</v>
      </c>
      <c r="L1586" t="s">
        <v>18</v>
      </c>
      <c r="M1586" t="str">
        <f>"20111026"</f>
        <v>20111026</v>
      </c>
    </row>
    <row r="1587" spans="1:13" x14ac:dyDescent="0.25">
      <c r="A1587" t="str">
        <f>"00518294"</f>
        <v>00518294</v>
      </c>
      <c r="B1587" t="s">
        <v>3538</v>
      </c>
      <c r="C1587" t="s">
        <v>125</v>
      </c>
      <c r="D1587" t="s">
        <v>45</v>
      </c>
      <c r="E1587" t="s">
        <v>16</v>
      </c>
      <c r="F1587" t="s">
        <v>17</v>
      </c>
      <c r="G1587" t="str">
        <f>"02"</f>
        <v>02</v>
      </c>
      <c r="H1587" t="str">
        <f>"3  "</f>
        <v xml:space="preserve">3  </v>
      </c>
      <c r="I1587" t="str">
        <f>"2012/11/11"</f>
        <v>2012/11/11</v>
      </c>
      <c r="J1587" t="str">
        <f>"110"</f>
        <v>110</v>
      </c>
      <c r="K1587" t="str">
        <f>"20420426"</f>
        <v>20420426</v>
      </c>
      <c r="L1587" t="s">
        <v>18</v>
      </c>
      <c r="M1587" t="str">
        <f>"20110929"</f>
        <v>20110929</v>
      </c>
    </row>
    <row r="1588" spans="1:13" x14ac:dyDescent="0.25">
      <c r="A1588" t="str">
        <f>"00416038"</f>
        <v>00416038</v>
      </c>
      <c r="B1588" t="s">
        <v>3543</v>
      </c>
      <c r="C1588" t="s">
        <v>404</v>
      </c>
      <c r="D1588" t="s">
        <v>15</v>
      </c>
      <c r="E1588" t="s">
        <v>16</v>
      </c>
      <c r="F1588" t="s">
        <v>17</v>
      </c>
      <c r="G1588" t="str">
        <f>"02"</f>
        <v>02</v>
      </c>
      <c r="H1588" t="str">
        <f>"3  "</f>
        <v xml:space="preserve">3  </v>
      </c>
      <c r="I1588" t="str">
        <f>"2019/05/03"</f>
        <v>2019/05/03</v>
      </c>
      <c r="J1588" t="str">
        <f>"510"</f>
        <v>510</v>
      </c>
      <c r="K1588" t="str">
        <f>"20230621"</f>
        <v>20230621</v>
      </c>
      <c r="L1588" t="s">
        <v>18</v>
      </c>
      <c r="M1588" t="str">
        <f>"20180112"</f>
        <v>20180112</v>
      </c>
    </row>
    <row r="1589" spans="1:13" x14ac:dyDescent="0.25">
      <c r="A1589" t="str">
        <f>"00644892"</f>
        <v>00644892</v>
      </c>
      <c r="B1589" t="s">
        <v>3548</v>
      </c>
      <c r="C1589" t="s">
        <v>3549</v>
      </c>
      <c r="D1589" t="s">
        <v>25</v>
      </c>
      <c r="E1589" t="s">
        <v>26</v>
      </c>
      <c r="F1589" t="s">
        <v>17</v>
      </c>
      <c r="G1589" t="str">
        <f>"02"</f>
        <v>02</v>
      </c>
      <c r="H1589" t="str">
        <f>"7  "</f>
        <v xml:space="preserve">7  </v>
      </c>
      <c r="I1589" t="str">
        <f>"2011/01/10"</f>
        <v>2011/01/10</v>
      </c>
      <c r="J1589" t="str">
        <f>"510"</f>
        <v>510</v>
      </c>
      <c r="K1589" t="s">
        <v>18</v>
      </c>
      <c r="L1589" t="s">
        <v>18</v>
      </c>
      <c r="M1589" t="str">
        <f>"20090614"</f>
        <v>20090614</v>
      </c>
    </row>
    <row r="1590" spans="1:13" x14ac:dyDescent="0.25">
      <c r="A1590" t="str">
        <f>"00306023"</f>
        <v>00306023</v>
      </c>
      <c r="B1590" t="s">
        <v>3550</v>
      </c>
      <c r="C1590" t="s">
        <v>772</v>
      </c>
      <c r="D1590" t="s">
        <v>51</v>
      </c>
      <c r="E1590" t="s">
        <v>16</v>
      </c>
      <c r="F1590" t="s">
        <v>17</v>
      </c>
      <c r="G1590" t="str">
        <f>"02"</f>
        <v>02</v>
      </c>
      <c r="H1590" t="str">
        <f>"3  "</f>
        <v xml:space="preserve">3  </v>
      </c>
      <c r="I1590" t="str">
        <f>"2018/02/06"</f>
        <v>2018/02/06</v>
      </c>
      <c r="J1590" t="str">
        <f>"531"</f>
        <v>531</v>
      </c>
      <c r="K1590" t="str">
        <f>"20550128"</f>
        <v>20550128</v>
      </c>
      <c r="L1590" t="s">
        <v>18</v>
      </c>
      <c r="M1590" t="str">
        <f>"20030725"</f>
        <v>20030725</v>
      </c>
    </row>
    <row r="1591" spans="1:13" x14ac:dyDescent="0.25">
      <c r="A1591" t="str">
        <f>"00275411"</f>
        <v>00275411</v>
      </c>
      <c r="B1591" t="s">
        <v>3551</v>
      </c>
      <c r="C1591" t="s">
        <v>3552</v>
      </c>
      <c r="D1591" t="s">
        <v>15</v>
      </c>
      <c r="E1591" t="s">
        <v>26</v>
      </c>
      <c r="F1591" t="s">
        <v>17</v>
      </c>
      <c r="G1591" t="str">
        <f>"02"</f>
        <v>02</v>
      </c>
      <c r="H1591" t="str">
        <f>"3  "</f>
        <v xml:space="preserve">3  </v>
      </c>
      <c r="I1591" t="str">
        <f>"2003/09/29"</f>
        <v>2003/09/29</v>
      </c>
      <c r="J1591" t="str">
        <f>"510"</f>
        <v>510</v>
      </c>
      <c r="K1591" t="str">
        <f>"20220311"</f>
        <v>20220311</v>
      </c>
      <c r="L1591" t="s">
        <v>18</v>
      </c>
      <c r="M1591" t="str">
        <f>"20030423"</f>
        <v>20030423</v>
      </c>
    </row>
    <row r="1592" spans="1:13" x14ac:dyDescent="0.25">
      <c r="A1592" t="str">
        <f>"00392579"</f>
        <v>00392579</v>
      </c>
      <c r="B1592" t="s">
        <v>3553</v>
      </c>
      <c r="C1592" t="s">
        <v>3080</v>
      </c>
      <c r="D1592" t="s">
        <v>80</v>
      </c>
      <c r="E1592" t="s">
        <v>26</v>
      </c>
      <c r="F1592" t="s">
        <v>17</v>
      </c>
      <c r="G1592" t="str">
        <f>"02"</f>
        <v>02</v>
      </c>
      <c r="H1592" t="str">
        <f>"3  "</f>
        <v xml:space="preserve">3  </v>
      </c>
      <c r="I1592" t="str">
        <f>"2017/08/11"</f>
        <v>2017/08/11</v>
      </c>
      <c r="J1592" t="str">
        <f>"110"</f>
        <v>110</v>
      </c>
      <c r="K1592" t="str">
        <f>"20220118"</f>
        <v>20220118</v>
      </c>
      <c r="L1592" t="s">
        <v>18</v>
      </c>
      <c r="M1592" t="str">
        <f>"20170811"</f>
        <v>20170811</v>
      </c>
    </row>
    <row r="1593" spans="1:13" x14ac:dyDescent="0.25">
      <c r="A1593" t="str">
        <f>"00357214"</f>
        <v>00357214</v>
      </c>
      <c r="B1593" t="s">
        <v>3557</v>
      </c>
      <c r="C1593" t="s">
        <v>938</v>
      </c>
      <c r="D1593" t="s">
        <v>456</v>
      </c>
      <c r="E1593" t="s">
        <v>26</v>
      </c>
      <c r="F1593" t="s">
        <v>17</v>
      </c>
      <c r="G1593" t="str">
        <f>"02"</f>
        <v>02</v>
      </c>
      <c r="H1593" t="str">
        <f>"3  "</f>
        <v xml:space="preserve">3  </v>
      </c>
      <c r="I1593" t="str">
        <f>"2007/01/23"</f>
        <v>2007/01/23</v>
      </c>
      <c r="J1593" t="str">
        <f>"510"</f>
        <v>510</v>
      </c>
      <c r="K1593" t="str">
        <f>"20260223"</f>
        <v>20260223</v>
      </c>
      <c r="L1593" t="s">
        <v>18</v>
      </c>
      <c r="M1593" t="str">
        <f>"20050829"</f>
        <v>20050829</v>
      </c>
    </row>
    <row r="1594" spans="1:13" x14ac:dyDescent="0.25">
      <c r="A1594" t="str">
        <f>"00288801"</f>
        <v>00288801</v>
      </c>
      <c r="B1594" t="s">
        <v>3558</v>
      </c>
      <c r="C1594" t="s">
        <v>161</v>
      </c>
      <c r="D1594" t="s">
        <v>21</v>
      </c>
      <c r="E1594" t="s">
        <v>26</v>
      </c>
      <c r="F1594" t="s">
        <v>17</v>
      </c>
      <c r="G1594" t="str">
        <f>"02"</f>
        <v>02</v>
      </c>
      <c r="H1594" t="str">
        <f>"3  "</f>
        <v xml:space="preserve">3  </v>
      </c>
      <c r="I1594" t="str">
        <f>"2011/02/19"</f>
        <v>2011/02/19</v>
      </c>
      <c r="J1594" t="str">
        <f>"110"</f>
        <v>110</v>
      </c>
      <c r="K1594" t="str">
        <f>"20320929"</f>
        <v>20320929</v>
      </c>
      <c r="L1594" t="s">
        <v>18</v>
      </c>
      <c r="M1594" t="str">
        <f>"20100513"</f>
        <v>20100513</v>
      </c>
    </row>
    <row r="1595" spans="1:13" x14ac:dyDescent="0.25">
      <c r="A1595" t="str">
        <f>"00483066"</f>
        <v>00483066</v>
      </c>
      <c r="B1595" t="s">
        <v>3561</v>
      </c>
      <c r="C1595" t="s">
        <v>136</v>
      </c>
      <c r="D1595" t="s">
        <v>16</v>
      </c>
      <c r="E1595" t="s">
        <v>16</v>
      </c>
      <c r="F1595" t="s">
        <v>17</v>
      </c>
      <c r="G1595" t="str">
        <f>"02"</f>
        <v>02</v>
      </c>
      <c r="H1595" t="str">
        <f>"7  "</f>
        <v xml:space="preserve">7  </v>
      </c>
      <c r="I1595" t="str">
        <f>"2004/01/06"</f>
        <v>2004/01/06</v>
      </c>
      <c r="J1595" t="str">
        <f>"510"</f>
        <v>510</v>
      </c>
      <c r="K1595" t="s">
        <v>18</v>
      </c>
      <c r="L1595" t="s">
        <v>18</v>
      </c>
      <c r="M1595" t="str">
        <f>"20020509"</f>
        <v>20020509</v>
      </c>
    </row>
    <row r="1596" spans="1:13" x14ac:dyDescent="0.25">
      <c r="A1596" t="str">
        <f>"00552401"</f>
        <v>00552401</v>
      </c>
      <c r="B1596" t="s">
        <v>3562</v>
      </c>
      <c r="C1596" t="s">
        <v>3563</v>
      </c>
      <c r="D1596" t="s">
        <v>15</v>
      </c>
      <c r="E1596" t="s">
        <v>26</v>
      </c>
      <c r="F1596" t="s">
        <v>17</v>
      </c>
      <c r="G1596" t="str">
        <f>"02"</f>
        <v>02</v>
      </c>
      <c r="H1596" t="str">
        <f>"3  "</f>
        <v xml:space="preserve">3  </v>
      </c>
      <c r="I1596" t="str">
        <f>"2014/12/05"</f>
        <v>2014/12/05</v>
      </c>
      <c r="J1596" t="str">
        <f>"110"</f>
        <v>110</v>
      </c>
      <c r="K1596" t="str">
        <f>"20210819"</f>
        <v>20210819</v>
      </c>
      <c r="L1596" t="s">
        <v>18</v>
      </c>
      <c r="M1596" t="str">
        <f>"20120616"</f>
        <v>20120616</v>
      </c>
    </row>
    <row r="1597" spans="1:13" x14ac:dyDescent="0.25">
      <c r="A1597" t="str">
        <f>"00595719"</f>
        <v>00595719</v>
      </c>
      <c r="B1597" t="s">
        <v>3569</v>
      </c>
      <c r="C1597" t="s">
        <v>2139</v>
      </c>
      <c r="D1597" t="s">
        <v>25</v>
      </c>
      <c r="E1597" t="s">
        <v>26</v>
      </c>
      <c r="F1597" t="s">
        <v>17</v>
      </c>
      <c r="G1597" t="str">
        <f>"02"</f>
        <v>02</v>
      </c>
      <c r="H1597" t="str">
        <f>"3  "</f>
        <v xml:space="preserve">3  </v>
      </c>
      <c r="I1597" t="str">
        <f>"2018/10/05"</f>
        <v>2018/10/05</v>
      </c>
      <c r="J1597" t="str">
        <f>"510"</f>
        <v>510</v>
      </c>
      <c r="K1597" t="str">
        <f>"20300714"</f>
        <v>20300714</v>
      </c>
      <c r="L1597" t="s">
        <v>18</v>
      </c>
      <c r="M1597" t="str">
        <f>"20170130"</f>
        <v>20170130</v>
      </c>
    </row>
    <row r="1598" spans="1:13" x14ac:dyDescent="0.25">
      <c r="A1598" t="str">
        <f>"00429847"</f>
        <v>00429847</v>
      </c>
      <c r="B1598" t="s">
        <v>3570</v>
      </c>
      <c r="C1598" t="s">
        <v>1829</v>
      </c>
      <c r="D1598" t="s">
        <v>45</v>
      </c>
      <c r="E1598" t="s">
        <v>16</v>
      </c>
      <c r="F1598" t="s">
        <v>17</v>
      </c>
      <c r="G1598" t="str">
        <f>"02"</f>
        <v>02</v>
      </c>
      <c r="H1598" t="str">
        <f>"7  "</f>
        <v xml:space="preserve">7  </v>
      </c>
      <c r="I1598" t="str">
        <f>"2001/10/05"</f>
        <v>2001/10/05</v>
      </c>
      <c r="J1598" t="str">
        <f>"503"</f>
        <v>503</v>
      </c>
      <c r="K1598" t="s">
        <v>18</v>
      </c>
      <c r="L1598" t="s">
        <v>18</v>
      </c>
      <c r="M1598" t="str">
        <f>"20000209"</f>
        <v>20000209</v>
      </c>
    </row>
    <row r="1599" spans="1:13" x14ac:dyDescent="0.25">
      <c r="A1599" t="str">
        <f>"00418888"</f>
        <v>00418888</v>
      </c>
      <c r="B1599" t="s">
        <v>3571</v>
      </c>
      <c r="C1599" t="s">
        <v>3572</v>
      </c>
      <c r="D1599" t="s">
        <v>80</v>
      </c>
      <c r="E1599" t="s">
        <v>16</v>
      </c>
      <c r="F1599" t="s">
        <v>17</v>
      </c>
      <c r="G1599" t="str">
        <f>"02"</f>
        <v>02</v>
      </c>
      <c r="H1599" t="str">
        <f>"7  "</f>
        <v xml:space="preserve">7  </v>
      </c>
      <c r="I1599" t="str">
        <f>"2001/12/10"</f>
        <v>2001/12/10</v>
      </c>
      <c r="J1599" t="str">
        <f>"114"</f>
        <v>114</v>
      </c>
      <c r="K1599" t="s">
        <v>18</v>
      </c>
      <c r="L1599" t="s">
        <v>18</v>
      </c>
      <c r="M1599" t="str">
        <f>"19991013"</f>
        <v>19991013</v>
      </c>
    </row>
    <row r="1600" spans="1:13" x14ac:dyDescent="0.25">
      <c r="A1600" t="str">
        <f>"00296974"</f>
        <v>00296974</v>
      </c>
      <c r="B1600" t="s">
        <v>3575</v>
      </c>
      <c r="C1600" t="s">
        <v>3576</v>
      </c>
      <c r="D1600" t="s">
        <v>25</v>
      </c>
      <c r="E1600" t="s">
        <v>26</v>
      </c>
      <c r="F1600" t="s">
        <v>17</v>
      </c>
      <c r="G1600" t="str">
        <f>"02"</f>
        <v>02</v>
      </c>
      <c r="H1600" t="str">
        <f>"7  "</f>
        <v xml:space="preserve">7  </v>
      </c>
      <c r="I1600" t="str">
        <f>"2006/09/20"</f>
        <v>2006/09/20</v>
      </c>
      <c r="J1600" t="str">
        <f>"110"</f>
        <v>110</v>
      </c>
      <c r="K1600" t="s">
        <v>18</v>
      </c>
      <c r="L1600" t="s">
        <v>18</v>
      </c>
      <c r="M1600" t="str">
        <f>"20041130"</f>
        <v>20041130</v>
      </c>
    </row>
    <row r="1601" spans="1:13" x14ac:dyDescent="0.25">
      <c r="A1601" t="str">
        <f>"00225936"</f>
        <v>00225936</v>
      </c>
      <c r="B1601" t="s">
        <v>3575</v>
      </c>
      <c r="C1601" t="s">
        <v>3577</v>
      </c>
      <c r="D1601" t="s">
        <v>80</v>
      </c>
      <c r="E1601" t="s">
        <v>26</v>
      </c>
      <c r="F1601" t="s">
        <v>17</v>
      </c>
      <c r="G1601" t="str">
        <f>"02"</f>
        <v>02</v>
      </c>
      <c r="H1601" t="str">
        <f>"7  "</f>
        <v xml:space="preserve">7  </v>
      </c>
      <c r="I1601" t="str">
        <f>"2010/04/08"</f>
        <v>2010/04/08</v>
      </c>
      <c r="J1601" t="str">
        <f>"533"</f>
        <v>533</v>
      </c>
      <c r="K1601" t="s">
        <v>18</v>
      </c>
      <c r="L1601" t="s">
        <v>18</v>
      </c>
      <c r="M1601" t="str">
        <f>"19881013"</f>
        <v>19881013</v>
      </c>
    </row>
    <row r="1602" spans="1:13" x14ac:dyDescent="0.25">
      <c r="A1602" t="str">
        <f>"00187172"</f>
        <v>00187172</v>
      </c>
      <c r="B1602" t="s">
        <v>3583</v>
      </c>
      <c r="C1602" t="s">
        <v>308</v>
      </c>
      <c r="D1602" t="s">
        <v>47</v>
      </c>
      <c r="E1602" t="s">
        <v>16</v>
      </c>
      <c r="F1602" t="s">
        <v>17</v>
      </c>
      <c r="G1602" t="str">
        <f>"02"</f>
        <v>02</v>
      </c>
      <c r="H1602" t="str">
        <f>"3  "</f>
        <v xml:space="preserve">3  </v>
      </c>
      <c r="I1602" t="str">
        <f>"2019/08/09"</f>
        <v>2019/08/09</v>
      </c>
      <c r="J1602" t="str">
        <f>"510"</f>
        <v>510</v>
      </c>
      <c r="K1602" t="str">
        <f>"20210326"</f>
        <v>20210326</v>
      </c>
      <c r="L1602" t="s">
        <v>18</v>
      </c>
      <c r="M1602" t="str">
        <f>"20170326"</f>
        <v>20170326</v>
      </c>
    </row>
    <row r="1603" spans="1:13" x14ac:dyDescent="0.25">
      <c r="A1603" t="str">
        <f>"00200341"</f>
        <v>00200341</v>
      </c>
      <c r="B1603" t="s">
        <v>3584</v>
      </c>
      <c r="C1603" t="s">
        <v>329</v>
      </c>
      <c r="D1603" t="s">
        <v>61</v>
      </c>
      <c r="E1603" t="s">
        <v>16</v>
      </c>
      <c r="F1603" t="s">
        <v>17</v>
      </c>
      <c r="G1603" t="str">
        <f>"02"</f>
        <v>02</v>
      </c>
      <c r="H1603" t="str">
        <f>"3  "</f>
        <v xml:space="preserve">3  </v>
      </c>
      <c r="I1603" t="str">
        <f>"2006/08/18"</f>
        <v>2006/08/18</v>
      </c>
      <c r="J1603" t="str">
        <f>"110"</f>
        <v>110</v>
      </c>
      <c r="K1603" t="str">
        <f>"20271008"</f>
        <v>20271008</v>
      </c>
      <c r="L1603" t="s">
        <v>18</v>
      </c>
      <c r="M1603" t="str">
        <f>"20050818"</f>
        <v>20050818</v>
      </c>
    </row>
    <row r="1604" spans="1:13" x14ac:dyDescent="0.25">
      <c r="A1604" t="str">
        <f>"00656075"</f>
        <v>00656075</v>
      </c>
      <c r="B1604" t="s">
        <v>3589</v>
      </c>
      <c r="C1604" t="s">
        <v>1623</v>
      </c>
      <c r="D1604" t="s">
        <v>37</v>
      </c>
      <c r="E1604" t="s">
        <v>26</v>
      </c>
      <c r="F1604" t="s">
        <v>17</v>
      </c>
      <c r="G1604" t="str">
        <f>"02"</f>
        <v>02</v>
      </c>
      <c r="H1604" t="str">
        <f>"3  "</f>
        <v xml:space="preserve">3  </v>
      </c>
      <c r="I1604" t="str">
        <f>"2018/10/05"</f>
        <v>2018/10/05</v>
      </c>
      <c r="J1604" t="str">
        <f>"510"</f>
        <v>510</v>
      </c>
      <c r="K1604" t="str">
        <f>"20210606"</f>
        <v>20210606</v>
      </c>
      <c r="L1604" t="s">
        <v>18</v>
      </c>
      <c r="M1604" t="str">
        <f>"20170119"</f>
        <v>20170119</v>
      </c>
    </row>
    <row r="1605" spans="1:13" x14ac:dyDescent="0.25">
      <c r="A1605" t="str">
        <f>"00088005"</f>
        <v>00088005</v>
      </c>
      <c r="B1605" t="s">
        <v>3591</v>
      </c>
      <c r="C1605" t="s">
        <v>169</v>
      </c>
      <c r="D1605" t="s">
        <v>80</v>
      </c>
      <c r="E1605" t="s">
        <v>26</v>
      </c>
      <c r="F1605" t="s">
        <v>17</v>
      </c>
      <c r="G1605" t="str">
        <f>"02"</f>
        <v>02</v>
      </c>
      <c r="H1605" t="str">
        <f>"7  "</f>
        <v xml:space="preserve">7  </v>
      </c>
      <c r="I1605" t="str">
        <f>"1991/04/09"</f>
        <v>1991/04/09</v>
      </c>
      <c r="J1605" t="str">
        <f>"503"</f>
        <v>503</v>
      </c>
      <c r="K1605" t="s">
        <v>18</v>
      </c>
      <c r="L1605" t="str">
        <f>"20070727"</f>
        <v>20070727</v>
      </c>
      <c r="M1605" t="str">
        <f>"19840825"</f>
        <v>19840825</v>
      </c>
    </row>
    <row r="1606" spans="1:13" x14ac:dyDescent="0.25">
      <c r="A1606" t="str">
        <f>"00403036"</f>
        <v>00403036</v>
      </c>
      <c r="B1606" t="s">
        <v>3596</v>
      </c>
      <c r="C1606" t="s">
        <v>327</v>
      </c>
      <c r="D1606" t="s">
        <v>40</v>
      </c>
      <c r="E1606" t="s">
        <v>26</v>
      </c>
      <c r="F1606" t="s">
        <v>17</v>
      </c>
      <c r="G1606" t="str">
        <f>"02"</f>
        <v>02</v>
      </c>
      <c r="H1606" t="str">
        <f>"7  "</f>
        <v xml:space="preserve">7  </v>
      </c>
      <c r="I1606" t="str">
        <f>"2010/03/16"</f>
        <v>2010/03/16</v>
      </c>
      <c r="J1606" t="str">
        <f>"110"</f>
        <v>110</v>
      </c>
      <c r="K1606" t="s">
        <v>18</v>
      </c>
      <c r="L1606" t="s">
        <v>18</v>
      </c>
      <c r="M1606" t="str">
        <f>"20081230"</f>
        <v>20081230</v>
      </c>
    </row>
    <row r="1607" spans="1:13" x14ac:dyDescent="0.25">
      <c r="A1607" t="str">
        <f>"00160194"</f>
        <v>00160194</v>
      </c>
      <c r="B1607" t="s">
        <v>3597</v>
      </c>
      <c r="C1607" t="s">
        <v>244</v>
      </c>
      <c r="D1607" t="s">
        <v>51</v>
      </c>
      <c r="E1607" t="s">
        <v>26</v>
      </c>
      <c r="F1607" t="s">
        <v>17</v>
      </c>
      <c r="G1607" t="str">
        <f>"02"</f>
        <v>02</v>
      </c>
      <c r="H1607" t="str">
        <f>"7  "</f>
        <v xml:space="preserve">7  </v>
      </c>
      <c r="I1607" t="str">
        <f>"1995/06/05"</f>
        <v>1995/06/05</v>
      </c>
      <c r="J1607" t="str">
        <f>"114"</f>
        <v>114</v>
      </c>
      <c r="K1607" t="s">
        <v>18</v>
      </c>
      <c r="L1607" t="s">
        <v>18</v>
      </c>
      <c r="M1607" t="str">
        <f>"19940430"</f>
        <v>19940430</v>
      </c>
    </row>
    <row r="1608" spans="1:13" x14ac:dyDescent="0.25">
      <c r="A1608" t="str">
        <f>"00347944"</f>
        <v>00347944</v>
      </c>
      <c r="B1608" t="s">
        <v>3597</v>
      </c>
      <c r="C1608" t="s">
        <v>2462</v>
      </c>
      <c r="D1608" t="s">
        <v>51</v>
      </c>
      <c r="E1608" t="s">
        <v>26</v>
      </c>
      <c r="F1608" t="s">
        <v>17</v>
      </c>
      <c r="G1608" t="str">
        <f>"02"</f>
        <v>02</v>
      </c>
      <c r="H1608" t="str">
        <f>"3  "</f>
        <v xml:space="preserve">3  </v>
      </c>
      <c r="I1608" t="str">
        <f>"2020/03/02"</f>
        <v>2020/03/02</v>
      </c>
      <c r="J1608" t="str">
        <f>"510"</f>
        <v>510</v>
      </c>
      <c r="K1608" t="str">
        <f>"20440329"</f>
        <v>20440329</v>
      </c>
      <c r="L1608" t="s">
        <v>18</v>
      </c>
      <c r="M1608" t="str">
        <f>"20170305"</f>
        <v>20170305</v>
      </c>
    </row>
    <row r="1609" spans="1:13" x14ac:dyDescent="0.25">
      <c r="A1609" t="str">
        <f>"00874338"</f>
        <v>00874338</v>
      </c>
      <c r="B1609" t="s">
        <v>3597</v>
      </c>
      <c r="C1609" t="s">
        <v>3599</v>
      </c>
      <c r="D1609" t="s">
        <v>25</v>
      </c>
      <c r="E1609" t="s">
        <v>26</v>
      </c>
      <c r="F1609" t="s">
        <v>17</v>
      </c>
      <c r="G1609" t="str">
        <f>"02"</f>
        <v>02</v>
      </c>
      <c r="H1609" t="str">
        <f>"3  "</f>
        <v xml:space="preserve">3  </v>
      </c>
      <c r="I1609" t="str">
        <f>"2019/03/20"</f>
        <v>2019/03/20</v>
      </c>
      <c r="J1609" t="str">
        <f>"534"</f>
        <v>534</v>
      </c>
      <c r="K1609" t="str">
        <f>"20281022"</f>
        <v>20281022</v>
      </c>
      <c r="L1609" t="s">
        <v>18</v>
      </c>
      <c r="M1609" t="str">
        <f>"20180216"</f>
        <v>20180216</v>
      </c>
    </row>
    <row r="1610" spans="1:13" x14ac:dyDescent="0.25">
      <c r="A1610" t="str">
        <f>"00780592"</f>
        <v>00780592</v>
      </c>
      <c r="B1610" t="s">
        <v>3597</v>
      </c>
      <c r="C1610" t="s">
        <v>3600</v>
      </c>
      <c r="D1610" t="s">
        <v>25</v>
      </c>
      <c r="E1610" t="s">
        <v>26</v>
      </c>
      <c r="F1610" t="s">
        <v>17</v>
      </c>
      <c r="G1610" t="str">
        <f>"02"</f>
        <v>02</v>
      </c>
      <c r="H1610" t="str">
        <f>"7  "</f>
        <v xml:space="preserve">7  </v>
      </c>
      <c r="I1610" t="str">
        <f>"2020/02/04"</f>
        <v>2020/02/04</v>
      </c>
      <c r="J1610" t="str">
        <f>"110"</f>
        <v>110</v>
      </c>
      <c r="K1610" t="s">
        <v>18</v>
      </c>
      <c r="L1610" t="s">
        <v>18</v>
      </c>
      <c r="M1610" t="str">
        <f>"20180403"</f>
        <v>20180403</v>
      </c>
    </row>
    <row r="1611" spans="1:13" x14ac:dyDescent="0.25">
      <c r="A1611" t="str">
        <f>"00473515"</f>
        <v>00473515</v>
      </c>
      <c r="B1611" t="s">
        <v>3597</v>
      </c>
      <c r="C1611" t="s">
        <v>384</v>
      </c>
      <c r="D1611" t="s">
        <v>61</v>
      </c>
      <c r="E1611" t="s">
        <v>16</v>
      </c>
      <c r="F1611" t="s">
        <v>17</v>
      </c>
      <c r="G1611" t="str">
        <f>"02"</f>
        <v>02</v>
      </c>
      <c r="H1611" t="str">
        <f>"3  "</f>
        <v xml:space="preserve">3  </v>
      </c>
      <c r="I1611" t="str">
        <f>"2016/01/11"</f>
        <v>2016/01/11</v>
      </c>
      <c r="J1611" t="str">
        <f>"503"</f>
        <v>503</v>
      </c>
      <c r="K1611" t="str">
        <f>"20300131"</f>
        <v>20300131</v>
      </c>
      <c r="L1611" t="s">
        <v>18</v>
      </c>
      <c r="M1611" t="str">
        <f>"20140117"</f>
        <v>20140117</v>
      </c>
    </row>
    <row r="1612" spans="1:13" x14ac:dyDescent="0.25">
      <c r="A1612" t="str">
        <f>"00599187"</f>
        <v>00599187</v>
      </c>
      <c r="B1612" t="s">
        <v>3597</v>
      </c>
      <c r="C1612" t="s">
        <v>3603</v>
      </c>
      <c r="D1612" t="s">
        <v>25</v>
      </c>
      <c r="E1612" t="s">
        <v>26</v>
      </c>
      <c r="F1612" t="s">
        <v>17</v>
      </c>
      <c r="G1612" t="str">
        <f>"02"</f>
        <v>02</v>
      </c>
      <c r="H1612" t="str">
        <f>"7  "</f>
        <v xml:space="preserve">7  </v>
      </c>
      <c r="I1612" t="str">
        <f>"2010/03/17"</f>
        <v>2010/03/17</v>
      </c>
      <c r="J1612" t="str">
        <f>"110"</f>
        <v>110</v>
      </c>
      <c r="K1612" t="s">
        <v>18</v>
      </c>
      <c r="L1612" t="s">
        <v>18</v>
      </c>
      <c r="M1612" t="str">
        <f>"20070821"</f>
        <v>20070821</v>
      </c>
    </row>
    <row r="1613" spans="1:13" x14ac:dyDescent="0.25">
      <c r="A1613" t="str">
        <f>"00461824"</f>
        <v>00461824</v>
      </c>
      <c r="B1613" t="s">
        <v>3597</v>
      </c>
      <c r="C1613" t="s">
        <v>261</v>
      </c>
      <c r="D1613" t="s">
        <v>51</v>
      </c>
      <c r="E1613" t="s">
        <v>26</v>
      </c>
      <c r="F1613" t="s">
        <v>17</v>
      </c>
      <c r="G1613" t="str">
        <f>"02"</f>
        <v>02</v>
      </c>
      <c r="H1613" t="str">
        <f>"3  "</f>
        <v xml:space="preserve">3  </v>
      </c>
      <c r="I1613" t="str">
        <f>"2017/07/19"</f>
        <v>2017/07/19</v>
      </c>
      <c r="J1613" t="str">
        <f>"510"</f>
        <v>510</v>
      </c>
      <c r="K1613" t="str">
        <f>"20210801"</f>
        <v>20210801</v>
      </c>
      <c r="L1613" t="s">
        <v>18</v>
      </c>
      <c r="M1613" t="str">
        <f>"20160225"</f>
        <v>20160225</v>
      </c>
    </row>
    <row r="1614" spans="1:13" x14ac:dyDescent="0.25">
      <c r="A1614" t="str">
        <f>"00504098"</f>
        <v>00504098</v>
      </c>
      <c r="B1614" t="s">
        <v>3597</v>
      </c>
      <c r="C1614" t="s">
        <v>2134</v>
      </c>
      <c r="D1614" t="s">
        <v>25</v>
      </c>
      <c r="E1614" t="s">
        <v>26</v>
      </c>
      <c r="F1614" t="s">
        <v>17</v>
      </c>
      <c r="G1614" t="str">
        <f>"02"</f>
        <v>02</v>
      </c>
      <c r="H1614" t="str">
        <f>"3  "</f>
        <v xml:space="preserve">3  </v>
      </c>
      <c r="I1614" t="str">
        <f>"2017/01/12"</f>
        <v>2017/01/12</v>
      </c>
      <c r="J1614" t="str">
        <f>"510"</f>
        <v>510</v>
      </c>
      <c r="K1614" t="str">
        <f>"20221025"</f>
        <v>20221025</v>
      </c>
      <c r="L1614" t="s">
        <v>18</v>
      </c>
      <c r="M1614" t="str">
        <f>"20160615"</f>
        <v>20160615</v>
      </c>
    </row>
    <row r="1615" spans="1:13" x14ac:dyDescent="0.25">
      <c r="A1615" t="str">
        <f>"00198104"</f>
        <v>00198104</v>
      </c>
      <c r="B1615" t="s">
        <v>3597</v>
      </c>
      <c r="C1615" t="s">
        <v>308</v>
      </c>
      <c r="D1615" t="s">
        <v>15</v>
      </c>
      <c r="E1615" t="s">
        <v>16</v>
      </c>
      <c r="F1615" t="s">
        <v>17</v>
      </c>
      <c r="G1615" t="str">
        <f>"02"</f>
        <v>02</v>
      </c>
      <c r="H1615" t="str">
        <f>"3  "</f>
        <v xml:space="preserve">3  </v>
      </c>
      <c r="I1615" t="str">
        <f>"2016/01/08"</f>
        <v>2016/01/08</v>
      </c>
      <c r="J1615" t="str">
        <f>"510"</f>
        <v>510</v>
      </c>
      <c r="K1615" t="str">
        <f>"20360108"</f>
        <v>20360108</v>
      </c>
      <c r="L1615" t="s">
        <v>18</v>
      </c>
      <c r="M1615" t="str">
        <f>"20150409"</f>
        <v>20150409</v>
      </c>
    </row>
    <row r="1616" spans="1:13" x14ac:dyDescent="0.25">
      <c r="A1616" t="str">
        <f>"00311518"</f>
        <v>00311518</v>
      </c>
      <c r="B1616" t="s">
        <v>3597</v>
      </c>
      <c r="C1616" t="s">
        <v>308</v>
      </c>
      <c r="D1616" t="s">
        <v>15</v>
      </c>
      <c r="E1616" t="s">
        <v>26</v>
      </c>
      <c r="F1616" t="s">
        <v>17</v>
      </c>
      <c r="G1616" t="str">
        <f>"02"</f>
        <v>02</v>
      </c>
      <c r="H1616" t="str">
        <f>"3  "</f>
        <v xml:space="preserve">3  </v>
      </c>
      <c r="I1616" t="str">
        <f>"1996/05/23"</f>
        <v>1996/05/23</v>
      </c>
      <c r="J1616" t="str">
        <f>"510"</f>
        <v>510</v>
      </c>
      <c r="K1616" t="str">
        <f>"20230918"</f>
        <v>20230918</v>
      </c>
      <c r="L1616" t="s">
        <v>18</v>
      </c>
      <c r="M1616" t="str">
        <f>"19940817"</f>
        <v>19940817</v>
      </c>
    </row>
    <row r="1617" spans="1:13" x14ac:dyDescent="0.25">
      <c r="A1617" t="str">
        <f>"00711407"</f>
        <v>00711407</v>
      </c>
      <c r="B1617" t="s">
        <v>3597</v>
      </c>
      <c r="C1617" t="s">
        <v>398</v>
      </c>
      <c r="D1617" t="s">
        <v>15</v>
      </c>
      <c r="E1617" t="s">
        <v>26</v>
      </c>
      <c r="F1617" t="s">
        <v>17</v>
      </c>
      <c r="G1617" t="str">
        <f>"02"</f>
        <v>02</v>
      </c>
      <c r="H1617" t="str">
        <f>"3  "</f>
        <v xml:space="preserve">3  </v>
      </c>
      <c r="I1617" t="str">
        <f>"2019/07/26"</f>
        <v>2019/07/26</v>
      </c>
      <c r="J1617" t="str">
        <f>"510"</f>
        <v>510</v>
      </c>
      <c r="K1617" t="str">
        <f>"20210930"</f>
        <v>20210930</v>
      </c>
      <c r="L1617" t="s">
        <v>18</v>
      </c>
      <c r="M1617" t="str">
        <f>"20190106"</f>
        <v>20190106</v>
      </c>
    </row>
    <row r="1618" spans="1:13" x14ac:dyDescent="0.25">
      <c r="A1618" t="str">
        <f>"00366321"</f>
        <v>00366321</v>
      </c>
      <c r="B1618" t="s">
        <v>3597</v>
      </c>
      <c r="C1618" t="s">
        <v>1476</v>
      </c>
      <c r="D1618" t="s">
        <v>40</v>
      </c>
      <c r="E1618" t="s">
        <v>26</v>
      </c>
      <c r="F1618" t="s">
        <v>17</v>
      </c>
      <c r="G1618" t="str">
        <f>"02"</f>
        <v>02</v>
      </c>
      <c r="H1618" t="str">
        <f>"7  "</f>
        <v xml:space="preserve">7  </v>
      </c>
      <c r="I1618" t="str">
        <f>"2011/08/26"</f>
        <v>2011/08/26</v>
      </c>
      <c r="J1618" t="str">
        <f>"510"</f>
        <v>510</v>
      </c>
      <c r="K1618" t="s">
        <v>18</v>
      </c>
      <c r="L1618" t="s">
        <v>18</v>
      </c>
      <c r="M1618" t="str">
        <f>"20090819"</f>
        <v>20090819</v>
      </c>
    </row>
    <row r="1619" spans="1:13" x14ac:dyDescent="0.25">
      <c r="A1619" t="str">
        <f>"00526407"</f>
        <v>00526407</v>
      </c>
      <c r="B1619" t="s">
        <v>3597</v>
      </c>
      <c r="C1619" t="s">
        <v>649</v>
      </c>
      <c r="D1619" t="s">
        <v>53</v>
      </c>
      <c r="E1619" t="s">
        <v>26</v>
      </c>
      <c r="F1619" t="s">
        <v>17</v>
      </c>
      <c r="G1619" t="str">
        <f>"02"</f>
        <v>02</v>
      </c>
      <c r="H1619" t="str">
        <f>"3  "</f>
        <v xml:space="preserve">3  </v>
      </c>
      <c r="I1619" t="str">
        <f>"2012/06/06"</f>
        <v>2012/06/06</v>
      </c>
      <c r="J1619" t="str">
        <f>"110"</f>
        <v>110</v>
      </c>
      <c r="K1619" t="str">
        <f>"20250225"</f>
        <v>20250225</v>
      </c>
      <c r="L1619" t="s">
        <v>18</v>
      </c>
      <c r="M1619" t="str">
        <f>"20100810"</f>
        <v>20100810</v>
      </c>
    </row>
    <row r="1620" spans="1:13" x14ac:dyDescent="0.25">
      <c r="A1620" t="str">
        <f>"00251117"</f>
        <v>00251117</v>
      </c>
      <c r="B1620" t="s">
        <v>3597</v>
      </c>
      <c r="C1620" t="s">
        <v>1312</v>
      </c>
      <c r="D1620" t="s">
        <v>51</v>
      </c>
      <c r="E1620" t="s">
        <v>26</v>
      </c>
      <c r="F1620" t="s">
        <v>17</v>
      </c>
      <c r="G1620" t="str">
        <f>"02"</f>
        <v>02</v>
      </c>
      <c r="H1620" t="str">
        <f>"3  "</f>
        <v xml:space="preserve">3  </v>
      </c>
      <c r="I1620" t="str">
        <f>"2018/09/07"</f>
        <v>2018/09/07</v>
      </c>
      <c r="J1620" t="str">
        <f>"810"</f>
        <v>810</v>
      </c>
      <c r="K1620" t="str">
        <f>"20570306"</f>
        <v>20570306</v>
      </c>
      <c r="L1620" t="s">
        <v>18</v>
      </c>
      <c r="M1620" t="str">
        <f>"20160826"</f>
        <v>20160826</v>
      </c>
    </row>
    <row r="1621" spans="1:13" x14ac:dyDescent="0.25">
      <c r="A1621" t="str">
        <f>"00124629"</f>
        <v>00124629</v>
      </c>
      <c r="B1621" t="s">
        <v>3597</v>
      </c>
      <c r="C1621" t="s">
        <v>74</v>
      </c>
      <c r="D1621" t="s">
        <v>15</v>
      </c>
      <c r="E1621" t="s">
        <v>26</v>
      </c>
      <c r="F1621" t="s">
        <v>17</v>
      </c>
      <c r="G1621" t="str">
        <f>"02"</f>
        <v>02</v>
      </c>
      <c r="H1621" t="str">
        <f>"7  "</f>
        <v xml:space="preserve">7  </v>
      </c>
      <c r="I1621" t="str">
        <f>"2001/11/02"</f>
        <v>2001/11/02</v>
      </c>
      <c r="J1621" t="str">
        <f>"503"</f>
        <v>503</v>
      </c>
      <c r="K1621" t="s">
        <v>18</v>
      </c>
      <c r="L1621" t="s">
        <v>18</v>
      </c>
      <c r="M1621" t="str">
        <f>"19890625"</f>
        <v>19890625</v>
      </c>
    </row>
    <row r="1622" spans="1:13" x14ac:dyDescent="0.25">
      <c r="A1622" t="str">
        <f>"00194496"</f>
        <v>00194496</v>
      </c>
      <c r="B1622" t="s">
        <v>3597</v>
      </c>
      <c r="C1622" t="s">
        <v>1561</v>
      </c>
      <c r="D1622" t="s">
        <v>45</v>
      </c>
      <c r="E1622" t="s">
        <v>26</v>
      </c>
      <c r="F1622" t="s">
        <v>17</v>
      </c>
      <c r="G1622" t="str">
        <f>"02"</f>
        <v>02</v>
      </c>
      <c r="H1622" t="str">
        <f>"7  "</f>
        <v xml:space="preserve">7  </v>
      </c>
      <c r="I1622" t="str">
        <f>"2001/06/15"</f>
        <v>2001/06/15</v>
      </c>
      <c r="J1622" t="str">
        <f>"510"</f>
        <v>510</v>
      </c>
      <c r="K1622" t="s">
        <v>18</v>
      </c>
      <c r="L1622" t="s">
        <v>18</v>
      </c>
      <c r="M1622" t="str">
        <f>"20000325"</f>
        <v>20000325</v>
      </c>
    </row>
    <row r="1623" spans="1:13" x14ac:dyDescent="0.25">
      <c r="A1623" t="str">
        <f>"00282836"</f>
        <v>00282836</v>
      </c>
      <c r="B1623" t="s">
        <v>3597</v>
      </c>
      <c r="C1623" t="s">
        <v>181</v>
      </c>
      <c r="D1623" t="s">
        <v>182</v>
      </c>
      <c r="E1623" t="s">
        <v>16</v>
      </c>
      <c r="F1623" t="s">
        <v>17</v>
      </c>
      <c r="G1623" t="str">
        <f>"02"</f>
        <v>02</v>
      </c>
      <c r="H1623" t="str">
        <f>"3  "</f>
        <v xml:space="preserve">3  </v>
      </c>
      <c r="I1623" t="str">
        <f>"2019/02/07"</f>
        <v>2019/02/07</v>
      </c>
      <c r="J1623" t="str">
        <f>"506"</f>
        <v>506</v>
      </c>
      <c r="K1623" t="str">
        <f>"20330706"</f>
        <v>20330706</v>
      </c>
      <c r="L1623" t="s">
        <v>18</v>
      </c>
      <c r="M1623" t="str">
        <f>"20190122"</f>
        <v>20190122</v>
      </c>
    </row>
    <row r="1624" spans="1:13" x14ac:dyDescent="0.25">
      <c r="A1624" t="str">
        <f>"00570355"</f>
        <v>00570355</v>
      </c>
      <c r="B1624" t="s">
        <v>3597</v>
      </c>
      <c r="C1624" t="s">
        <v>969</v>
      </c>
      <c r="D1624" t="s">
        <v>15</v>
      </c>
      <c r="E1624" t="s">
        <v>26</v>
      </c>
      <c r="F1624" t="s">
        <v>17</v>
      </c>
      <c r="G1624" t="str">
        <f>"02"</f>
        <v>02</v>
      </c>
      <c r="H1624" t="str">
        <f>"3  "</f>
        <v xml:space="preserve">3  </v>
      </c>
      <c r="I1624" t="str">
        <f>"2019/02/08"</f>
        <v>2019/02/08</v>
      </c>
      <c r="J1624" t="str">
        <f>"510"</f>
        <v>510</v>
      </c>
      <c r="K1624" t="str">
        <f>"20331103"</f>
        <v>20331103</v>
      </c>
      <c r="L1624" t="s">
        <v>18</v>
      </c>
      <c r="M1624" t="str">
        <f>"20170524"</f>
        <v>20170524</v>
      </c>
    </row>
    <row r="1625" spans="1:13" x14ac:dyDescent="0.25">
      <c r="A1625" t="str">
        <f>"00537945"</f>
        <v>00537945</v>
      </c>
      <c r="B1625" t="s">
        <v>3597</v>
      </c>
      <c r="C1625" t="s">
        <v>3608</v>
      </c>
      <c r="D1625" t="s">
        <v>182</v>
      </c>
      <c r="E1625" t="s">
        <v>26</v>
      </c>
      <c r="F1625" t="s">
        <v>17</v>
      </c>
      <c r="G1625" t="str">
        <f>"02"</f>
        <v>02</v>
      </c>
      <c r="H1625" t="str">
        <f>"3  "</f>
        <v xml:space="preserve">3  </v>
      </c>
      <c r="I1625" t="str">
        <f>"2018/02/27"</f>
        <v>2018/02/27</v>
      </c>
      <c r="J1625" t="str">
        <f>"510"</f>
        <v>510</v>
      </c>
      <c r="K1625" t="str">
        <f>"20980115"</f>
        <v>20980115</v>
      </c>
      <c r="L1625" t="s">
        <v>18</v>
      </c>
      <c r="M1625" t="str">
        <f>"20161218"</f>
        <v>20161218</v>
      </c>
    </row>
    <row r="1626" spans="1:13" x14ac:dyDescent="0.25">
      <c r="A1626" t="str">
        <f>"00632895"</f>
        <v>00632895</v>
      </c>
      <c r="B1626" t="s">
        <v>3597</v>
      </c>
      <c r="C1626" t="s">
        <v>3609</v>
      </c>
      <c r="D1626" t="s">
        <v>51</v>
      </c>
      <c r="E1626" t="s">
        <v>26</v>
      </c>
      <c r="F1626" t="s">
        <v>17</v>
      </c>
      <c r="G1626" t="str">
        <f>"02"</f>
        <v>02</v>
      </c>
      <c r="H1626" t="str">
        <f>"3  "</f>
        <v xml:space="preserve">3  </v>
      </c>
      <c r="I1626" t="str">
        <f>"2020/08/05"</f>
        <v>2020/08/05</v>
      </c>
      <c r="J1626" t="str">
        <f>"503"</f>
        <v>503</v>
      </c>
      <c r="K1626" t="str">
        <f>"20220107"</f>
        <v>20220107</v>
      </c>
      <c r="L1626" t="s">
        <v>18</v>
      </c>
      <c r="M1626" t="str">
        <f>"20170928"</f>
        <v>20170928</v>
      </c>
    </row>
    <row r="1627" spans="1:13" x14ac:dyDescent="0.25">
      <c r="A1627" t="str">
        <f>"00142725"</f>
        <v>00142725</v>
      </c>
      <c r="B1627" t="s">
        <v>3610</v>
      </c>
      <c r="C1627" t="s">
        <v>2025</v>
      </c>
      <c r="D1627" t="s">
        <v>45</v>
      </c>
      <c r="E1627" t="s">
        <v>26</v>
      </c>
      <c r="F1627" t="s">
        <v>17</v>
      </c>
      <c r="G1627" t="str">
        <f>"02"</f>
        <v>02</v>
      </c>
      <c r="H1627" t="str">
        <f>"7  "</f>
        <v xml:space="preserve">7  </v>
      </c>
      <c r="I1627" t="str">
        <f>"1982/02/14"</f>
        <v>1982/02/14</v>
      </c>
      <c r="J1627" t="str">
        <f>"503"</f>
        <v>503</v>
      </c>
      <c r="K1627" t="s">
        <v>18</v>
      </c>
      <c r="L1627" t="str">
        <f>"20311217"</f>
        <v>20311217</v>
      </c>
      <c r="M1627" t="str">
        <f>"19810316"</f>
        <v>19810316</v>
      </c>
    </row>
    <row r="1628" spans="1:13" x14ac:dyDescent="0.25">
      <c r="A1628" t="str">
        <f>"00414515"</f>
        <v>00414515</v>
      </c>
      <c r="B1628" t="s">
        <v>3614</v>
      </c>
      <c r="C1628" t="s">
        <v>59</v>
      </c>
      <c r="D1628" t="s">
        <v>40</v>
      </c>
      <c r="E1628" t="s">
        <v>16</v>
      </c>
      <c r="F1628" t="s">
        <v>17</v>
      </c>
      <c r="G1628" t="str">
        <f>"02"</f>
        <v>02</v>
      </c>
      <c r="H1628" t="str">
        <f>"3  "</f>
        <v xml:space="preserve">3  </v>
      </c>
      <c r="I1628" t="str">
        <f>"2019/08/09"</f>
        <v>2019/08/09</v>
      </c>
      <c r="J1628" t="str">
        <f>"510"</f>
        <v>510</v>
      </c>
      <c r="K1628" t="str">
        <f>"20240202"</f>
        <v>20240202</v>
      </c>
      <c r="L1628" t="s">
        <v>18</v>
      </c>
      <c r="M1628" t="str">
        <f>"20140704"</f>
        <v>20140704</v>
      </c>
    </row>
    <row r="1629" spans="1:13" x14ac:dyDescent="0.25">
      <c r="A1629" t="str">
        <f>"00609765"</f>
        <v>00609765</v>
      </c>
      <c r="B1629" t="s">
        <v>3616</v>
      </c>
      <c r="C1629" t="s">
        <v>49</v>
      </c>
      <c r="D1629" t="s">
        <v>61</v>
      </c>
      <c r="E1629" t="s">
        <v>16</v>
      </c>
      <c r="F1629" t="s">
        <v>17</v>
      </c>
      <c r="G1629" t="str">
        <f>"02"</f>
        <v>02</v>
      </c>
      <c r="H1629" t="str">
        <f>"3  "</f>
        <v xml:space="preserve">3  </v>
      </c>
      <c r="I1629" t="str">
        <f>"2009/03/16"</f>
        <v>2009/03/16</v>
      </c>
      <c r="J1629" t="str">
        <f>"510"</f>
        <v>510</v>
      </c>
      <c r="K1629" t="str">
        <f>"20250727"</f>
        <v>20250727</v>
      </c>
      <c r="L1629" t="s">
        <v>18</v>
      </c>
      <c r="M1629" t="str">
        <f>"20061111"</f>
        <v>20061111</v>
      </c>
    </row>
    <row r="1630" spans="1:13" x14ac:dyDescent="0.25">
      <c r="A1630" t="str">
        <f>"00633317"</f>
        <v>00633317</v>
      </c>
      <c r="B1630" t="s">
        <v>3621</v>
      </c>
      <c r="C1630" t="s">
        <v>3622</v>
      </c>
      <c r="D1630" t="s">
        <v>25</v>
      </c>
      <c r="E1630" t="s">
        <v>16</v>
      </c>
      <c r="F1630" t="s">
        <v>17</v>
      </c>
      <c r="G1630" t="str">
        <f>"02"</f>
        <v>02</v>
      </c>
      <c r="H1630" t="str">
        <f>"3  "</f>
        <v xml:space="preserve">3  </v>
      </c>
      <c r="I1630" t="str">
        <f>"2011/02/04"</f>
        <v>2011/02/04</v>
      </c>
      <c r="J1630" t="str">
        <f>"510"</f>
        <v>510</v>
      </c>
      <c r="K1630" t="str">
        <f>"20220615"</f>
        <v>20220615</v>
      </c>
      <c r="L1630" t="s">
        <v>18</v>
      </c>
      <c r="M1630" t="str">
        <f>"20090107"</f>
        <v>20090107</v>
      </c>
    </row>
    <row r="1631" spans="1:13" x14ac:dyDescent="0.25">
      <c r="A1631" t="str">
        <f>"00198184"</f>
        <v>00198184</v>
      </c>
      <c r="B1631" t="s">
        <v>3630</v>
      </c>
      <c r="C1631" t="s">
        <v>22</v>
      </c>
      <c r="D1631" t="s">
        <v>16</v>
      </c>
      <c r="E1631" t="s">
        <v>16</v>
      </c>
      <c r="F1631" t="s">
        <v>17</v>
      </c>
      <c r="G1631" t="str">
        <f>"02"</f>
        <v>02</v>
      </c>
      <c r="H1631" t="str">
        <f>"3  "</f>
        <v xml:space="preserve">3  </v>
      </c>
      <c r="I1631" t="str">
        <f>"2006/02/28"</f>
        <v>2006/02/28</v>
      </c>
      <c r="J1631" t="str">
        <f>"510"</f>
        <v>510</v>
      </c>
      <c r="K1631" t="str">
        <f>"20210202"</f>
        <v>20210202</v>
      </c>
      <c r="L1631" t="s">
        <v>18</v>
      </c>
      <c r="M1631" t="str">
        <f>"20041004"</f>
        <v>20041004</v>
      </c>
    </row>
    <row r="1632" spans="1:13" x14ac:dyDescent="0.25">
      <c r="A1632" t="str">
        <f>"00319361"</f>
        <v>00319361</v>
      </c>
      <c r="B1632" t="s">
        <v>3635</v>
      </c>
      <c r="C1632" t="s">
        <v>2127</v>
      </c>
      <c r="D1632" t="s">
        <v>25</v>
      </c>
      <c r="E1632" t="s">
        <v>26</v>
      </c>
      <c r="F1632" t="s">
        <v>17</v>
      </c>
      <c r="G1632" t="str">
        <f>"02"</f>
        <v>02</v>
      </c>
      <c r="H1632" t="str">
        <f>"7  "</f>
        <v xml:space="preserve">7  </v>
      </c>
      <c r="I1632" t="str">
        <f>"2018/01/25"</f>
        <v>2018/01/25</v>
      </c>
      <c r="J1632" t="str">
        <f>"510"</f>
        <v>510</v>
      </c>
      <c r="K1632" t="s">
        <v>18</v>
      </c>
      <c r="L1632" t="s">
        <v>18</v>
      </c>
      <c r="M1632" t="str">
        <f>"20160718"</f>
        <v>20160718</v>
      </c>
    </row>
    <row r="1633" spans="1:13" x14ac:dyDescent="0.25">
      <c r="A1633" t="str">
        <f>"00749355"</f>
        <v>00749355</v>
      </c>
      <c r="B1633" t="s">
        <v>3635</v>
      </c>
      <c r="C1633" t="s">
        <v>2782</v>
      </c>
      <c r="D1633" t="s">
        <v>25</v>
      </c>
      <c r="E1633" t="s">
        <v>16</v>
      </c>
      <c r="F1633" t="s">
        <v>17</v>
      </c>
      <c r="G1633" t="str">
        <f>"02"</f>
        <v>02</v>
      </c>
      <c r="H1633" t="str">
        <f>"3  "</f>
        <v xml:space="preserve">3  </v>
      </c>
      <c r="I1633" t="str">
        <f>"2019/06/06"</f>
        <v>2019/06/06</v>
      </c>
      <c r="J1633" t="str">
        <f>"510"</f>
        <v>510</v>
      </c>
      <c r="K1633" t="str">
        <f>"20221124"</f>
        <v>20221124</v>
      </c>
      <c r="L1633" t="s">
        <v>18</v>
      </c>
      <c r="M1633" t="str">
        <f>"20170721"</f>
        <v>20170721</v>
      </c>
    </row>
    <row r="1634" spans="1:13" x14ac:dyDescent="0.25">
      <c r="A1634" t="str">
        <f>"00579243"</f>
        <v>00579243</v>
      </c>
      <c r="B1634" t="s">
        <v>3635</v>
      </c>
      <c r="C1634" t="s">
        <v>3637</v>
      </c>
      <c r="D1634" t="s">
        <v>61</v>
      </c>
      <c r="E1634" t="s">
        <v>26</v>
      </c>
      <c r="F1634" t="s">
        <v>17</v>
      </c>
      <c r="G1634" t="str">
        <f>"02"</f>
        <v>02</v>
      </c>
      <c r="H1634" t="str">
        <f>"3  "</f>
        <v xml:space="preserve">3  </v>
      </c>
      <c r="I1634" t="str">
        <f>"2012/03/29"</f>
        <v>2012/03/29</v>
      </c>
      <c r="J1634" t="str">
        <f>"110"</f>
        <v>110</v>
      </c>
      <c r="K1634" t="str">
        <f>"20440423"</f>
        <v>20440423</v>
      </c>
      <c r="L1634" t="s">
        <v>18</v>
      </c>
      <c r="M1634" t="str">
        <f>"20100616"</f>
        <v>20100616</v>
      </c>
    </row>
    <row r="1635" spans="1:13" x14ac:dyDescent="0.25">
      <c r="A1635" t="str">
        <f>"00776569"</f>
        <v>00776569</v>
      </c>
      <c r="B1635" t="s">
        <v>3635</v>
      </c>
      <c r="C1635" t="s">
        <v>1064</v>
      </c>
      <c r="D1635" t="s">
        <v>40</v>
      </c>
      <c r="E1635" t="s">
        <v>26</v>
      </c>
      <c r="F1635" t="s">
        <v>17</v>
      </c>
      <c r="G1635" t="str">
        <f>"02"</f>
        <v>02</v>
      </c>
      <c r="H1635" t="str">
        <f>"3  "</f>
        <v xml:space="preserve">3  </v>
      </c>
      <c r="I1635" t="str">
        <f>"2019/08/16"</f>
        <v>2019/08/16</v>
      </c>
      <c r="J1635" t="str">
        <f>"510"</f>
        <v>510</v>
      </c>
      <c r="K1635" t="str">
        <f>"20330312"</f>
        <v>20330312</v>
      </c>
      <c r="L1635" t="s">
        <v>18</v>
      </c>
      <c r="M1635" t="str">
        <f>"20180929"</f>
        <v>20180929</v>
      </c>
    </row>
    <row r="1636" spans="1:13" x14ac:dyDescent="0.25">
      <c r="A1636" t="str">
        <f>"00465477"</f>
        <v>00465477</v>
      </c>
      <c r="B1636" t="s">
        <v>3635</v>
      </c>
      <c r="C1636" t="s">
        <v>122</v>
      </c>
      <c r="D1636" t="s">
        <v>16</v>
      </c>
      <c r="E1636" t="s">
        <v>26</v>
      </c>
      <c r="F1636" t="s">
        <v>17</v>
      </c>
      <c r="G1636" t="str">
        <f>"02"</f>
        <v>02</v>
      </c>
      <c r="H1636" t="str">
        <f>"3  "</f>
        <v xml:space="preserve">3  </v>
      </c>
      <c r="I1636" t="str">
        <f>"2020/07/21"</f>
        <v>2020/07/21</v>
      </c>
      <c r="J1636" t="str">
        <f>"533"</f>
        <v>533</v>
      </c>
      <c r="K1636" t="str">
        <f>"20320926"</f>
        <v>20320926</v>
      </c>
      <c r="L1636" t="s">
        <v>18</v>
      </c>
      <c r="M1636" t="str">
        <f>"20140410"</f>
        <v>20140410</v>
      </c>
    </row>
    <row r="1637" spans="1:13" x14ac:dyDescent="0.25">
      <c r="A1637" t="str">
        <f>"00295637"</f>
        <v>00295637</v>
      </c>
      <c r="B1637" t="s">
        <v>3635</v>
      </c>
      <c r="C1637" t="s">
        <v>308</v>
      </c>
      <c r="D1637" t="s">
        <v>61</v>
      </c>
      <c r="E1637" t="s">
        <v>16</v>
      </c>
      <c r="F1637" t="s">
        <v>17</v>
      </c>
      <c r="G1637" t="str">
        <f>"02"</f>
        <v>02</v>
      </c>
      <c r="H1637" t="str">
        <f>"3  "</f>
        <v xml:space="preserve">3  </v>
      </c>
      <c r="I1637" t="str">
        <f>"2019/04/12"</f>
        <v>2019/04/12</v>
      </c>
      <c r="J1637" t="str">
        <f>"510"</f>
        <v>510</v>
      </c>
      <c r="K1637" t="str">
        <f>"20341105"</f>
        <v>20341105</v>
      </c>
      <c r="L1637" t="s">
        <v>18</v>
      </c>
      <c r="M1637" t="str">
        <f>"20161103"</f>
        <v>20161103</v>
      </c>
    </row>
    <row r="1638" spans="1:13" x14ac:dyDescent="0.25">
      <c r="A1638" t="str">
        <f>"00652410"</f>
        <v>00652410</v>
      </c>
      <c r="B1638" t="s">
        <v>3635</v>
      </c>
      <c r="C1638" t="s">
        <v>3640</v>
      </c>
      <c r="D1638" t="s">
        <v>25</v>
      </c>
      <c r="E1638" t="s">
        <v>26</v>
      </c>
      <c r="F1638" t="s">
        <v>17</v>
      </c>
      <c r="G1638" t="str">
        <f>"02"</f>
        <v>02</v>
      </c>
      <c r="H1638" t="str">
        <f>"7  "</f>
        <v xml:space="preserve">7  </v>
      </c>
      <c r="I1638" t="str">
        <f>"2019/03/11"</f>
        <v>2019/03/11</v>
      </c>
      <c r="J1638" t="str">
        <f>"510"</f>
        <v>510</v>
      </c>
      <c r="K1638" t="s">
        <v>18</v>
      </c>
      <c r="L1638" t="s">
        <v>18</v>
      </c>
      <c r="M1638" t="str">
        <f>"20170302"</f>
        <v>20170302</v>
      </c>
    </row>
    <row r="1639" spans="1:13" x14ac:dyDescent="0.25">
      <c r="A1639" t="str">
        <f>"00214524"</f>
        <v>00214524</v>
      </c>
      <c r="B1639" t="s">
        <v>3635</v>
      </c>
      <c r="C1639" t="s">
        <v>49</v>
      </c>
      <c r="D1639" t="s">
        <v>51</v>
      </c>
      <c r="E1639" t="s">
        <v>16</v>
      </c>
      <c r="F1639" t="s">
        <v>17</v>
      </c>
      <c r="G1639" t="str">
        <f>"02"</f>
        <v>02</v>
      </c>
      <c r="H1639" t="str">
        <f>"3  "</f>
        <v xml:space="preserve">3  </v>
      </c>
      <c r="I1639" t="str">
        <f>"2019/06/07"</f>
        <v>2019/06/07</v>
      </c>
      <c r="J1639" t="str">
        <f>"533"</f>
        <v>533</v>
      </c>
      <c r="K1639" t="str">
        <f>"20360413"</f>
        <v>20360413</v>
      </c>
      <c r="L1639" t="s">
        <v>18</v>
      </c>
      <c r="M1639" t="str">
        <f>"19960708"</f>
        <v>19960708</v>
      </c>
    </row>
    <row r="1640" spans="1:13" x14ac:dyDescent="0.25">
      <c r="A1640" t="str">
        <f>"00499562"</f>
        <v>00499562</v>
      </c>
      <c r="B1640" t="s">
        <v>3635</v>
      </c>
      <c r="C1640" t="s">
        <v>3642</v>
      </c>
      <c r="D1640" t="s">
        <v>15</v>
      </c>
      <c r="E1640" t="s">
        <v>26</v>
      </c>
      <c r="F1640" t="s">
        <v>17</v>
      </c>
      <c r="G1640" t="str">
        <f>"02"</f>
        <v>02</v>
      </c>
      <c r="H1640" t="str">
        <f>"3  "</f>
        <v xml:space="preserve">3  </v>
      </c>
      <c r="I1640" t="str">
        <f>"2018/12/11"</f>
        <v>2018/12/11</v>
      </c>
      <c r="J1640" t="str">
        <f>"510"</f>
        <v>510</v>
      </c>
      <c r="K1640" t="str">
        <f>"20420724"</f>
        <v>20420724</v>
      </c>
      <c r="L1640" t="s">
        <v>18</v>
      </c>
      <c r="M1640" t="str">
        <f>"20170525"</f>
        <v>20170525</v>
      </c>
    </row>
    <row r="1641" spans="1:13" x14ac:dyDescent="0.25">
      <c r="A1641" t="str">
        <f>"00747384"</f>
        <v>00747384</v>
      </c>
      <c r="B1641" t="s">
        <v>3635</v>
      </c>
      <c r="C1641" t="s">
        <v>348</v>
      </c>
      <c r="D1641" t="s">
        <v>61</v>
      </c>
      <c r="E1641" t="s">
        <v>16</v>
      </c>
      <c r="F1641" t="s">
        <v>17</v>
      </c>
      <c r="G1641" t="str">
        <f>"02"</f>
        <v>02</v>
      </c>
      <c r="H1641" t="str">
        <f>"3  "</f>
        <v xml:space="preserve">3  </v>
      </c>
      <c r="I1641" t="str">
        <f>"2019/02/15"</f>
        <v>2019/02/15</v>
      </c>
      <c r="J1641" t="str">
        <f>"510"</f>
        <v>510</v>
      </c>
      <c r="K1641" t="str">
        <f>"20210610"</f>
        <v>20210610</v>
      </c>
      <c r="L1641" t="s">
        <v>18</v>
      </c>
      <c r="M1641" t="str">
        <f>"20180206"</f>
        <v>20180206</v>
      </c>
    </row>
    <row r="1642" spans="1:13" x14ac:dyDescent="0.25">
      <c r="A1642" t="str">
        <f>"00203404"</f>
        <v>00203404</v>
      </c>
      <c r="B1642" t="s">
        <v>3635</v>
      </c>
      <c r="C1642" t="s">
        <v>3643</v>
      </c>
      <c r="D1642" t="s">
        <v>80</v>
      </c>
      <c r="E1642" t="s">
        <v>26</v>
      </c>
      <c r="F1642" t="s">
        <v>17</v>
      </c>
      <c r="G1642" t="str">
        <f>"02"</f>
        <v>02</v>
      </c>
      <c r="H1642" t="str">
        <f>"3  "</f>
        <v xml:space="preserve">3  </v>
      </c>
      <c r="I1642" t="str">
        <f>"2020/09/02"</f>
        <v>2020/09/02</v>
      </c>
      <c r="J1642" t="str">
        <f>"533"</f>
        <v>533</v>
      </c>
      <c r="K1642" t="str">
        <f>"20260512"</f>
        <v>20260512</v>
      </c>
      <c r="L1642" t="s">
        <v>18</v>
      </c>
      <c r="M1642" t="str">
        <f>"20160715"</f>
        <v>20160715</v>
      </c>
    </row>
    <row r="1643" spans="1:13" x14ac:dyDescent="0.25">
      <c r="A1643" t="str">
        <f>"00193642"</f>
        <v>00193642</v>
      </c>
      <c r="B1643" t="s">
        <v>3635</v>
      </c>
      <c r="C1643" t="s">
        <v>55</v>
      </c>
      <c r="D1643" t="s">
        <v>51</v>
      </c>
      <c r="E1643" t="s">
        <v>16</v>
      </c>
      <c r="F1643" t="s">
        <v>17</v>
      </c>
      <c r="G1643" t="str">
        <f>"02"</f>
        <v>02</v>
      </c>
      <c r="H1643" t="str">
        <f>"3  "</f>
        <v xml:space="preserve">3  </v>
      </c>
      <c r="I1643" t="str">
        <f>"1994/05/24"</f>
        <v>1994/05/24</v>
      </c>
      <c r="J1643" t="str">
        <f>"534"</f>
        <v>534</v>
      </c>
      <c r="K1643" t="str">
        <f>"20260917"</f>
        <v>20260917</v>
      </c>
      <c r="L1643" t="str">
        <f>"20200701"</f>
        <v>20200701</v>
      </c>
      <c r="M1643" t="str">
        <f>"19881102"</f>
        <v>19881102</v>
      </c>
    </row>
    <row r="1644" spans="1:13" x14ac:dyDescent="0.25">
      <c r="A1644" t="str">
        <f>"00703400"</f>
        <v>00703400</v>
      </c>
      <c r="B1644" t="s">
        <v>3635</v>
      </c>
      <c r="C1644" t="s">
        <v>358</v>
      </c>
      <c r="D1644" t="s">
        <v>16</v>
      </c>
      <c r="E1644" t="s">
        <v>26</v>
      </c>
      <c r="F1644" t="s">
        <v>17</v>
      </c>
      <c r="G1644" t="str">
        <f>"02"</f>
        <v>02</v>
      </c>
      <c r="H1644" t="str">
        <f>"3  "</f>
        <v xml:space="preserve">3  </v>
      </c>
      <c r="I1644" t="str">
        <f>"2011/10/19"</f>
        <v>2011/10/19</v>
      </c>
      <c r="J1644" t="str">
        <f>"110"</f>
        <v>110</v>
      </c>
      <c r="K1644" t="str">
        <f>"20240401"</f>
        <v>20240401</v>
      </c>
      <c r="L1644" t="s">
        <v>18</v>
      </c>
      <c r="M1644" t="str">
        <f>"20011008"</f>
        <v>20011008</v>
      </c>
    </row>
    <row r="1645" spans="1:13" x14ac:dyDescent="0.25">
      <c r="A1645" t="str">
        <f>"00154924"</f>
        <v>00154924</v>
      </c>
      <c r="B1645" t="s">
        <v>3635</v>
      </c>
      <c r="C1645" t="s">
        <v>1160</v>
      </c>
      <c r="D1645" t="s">
        <v>25</v>
      </c>
      <c r="E1645" t="s">
        <v>26</v>
      </c>
      <c r="F1645" t="s">
        <v>17</v>
      </c>
      <c r="G1645" t="str">
        <f>"02"</f>
        <v>02</v>
      </c>
      <c r="H1645" t="str">
        <f>"3  "</f>
        <v xml:space="preserve">3  </v>
      </c>
      <c r="I1645" t="str">
        <f>"1997/04/08"</f>
        <v>1997/04/08</v>
      </c>
      <c r="J1645" t="str">
        <f>"503"</f>
        <v>503</v>
      </c>
      <c r="K1645" t="str">
        <f>"20291210"</f>
        <v>20291210</v>
      </c>
      <c r="L1645" t="s">
        <v>18</v>
      </c>
      <c r="M1645" t="str">
        <f>"19960610"</f>
        <v>19960610</v>
      </c>
    </row>
    <row r="1646" spans="1:13" x14ac:dyDescent="0.25">
      <c r="A1646" t="str">
        <f>"00349966"</f>
        <v>00349966</v>
      </c>
      <c r="B1646" t="s">
        <v>3635</v>
      </c>
      <c r="C1646" t="s">
        <v>3645</v>
      </c>
      <c r="D1646" t="s">
        <v>25</v>
      </c>
      <c r="E1646" t="s">
        <v>26</v>
      </c>
      <c r="F1646" t="s">
        <v>17</v>
      </c>
      <c r="G1646" t="str">
        <f>"02"</f>
        <v>02</v>
      </c>
      <c r="H1646" t="str">
        <f>"3  "</f>
        <v xml:space="preserve">3  </v>
      </c>
      <c r="I1646" t="str">
        <f>"2019/11/08"</f>
        <v>2019/11/08</v>
      </c>
      <c r="J1646" t="str">
        <f>"510"</f>
        <v>510</v>
      </c>
      <c r="K1646" t="str">
        <f>"20350103"</f>
        <v>20350103</v>
      </c>
      <c r="L1646" t="s">
        <v>18</v>
      </c>
      <c r="M1646" t="str">
        <f>"20190817"</f>
        <v>20190817</v>
      </c>
    </row>
    <row r="1647" spans="1:13" x14ac:dyDescent="0.25">
      <c r="A1647" t="str">
        <f>"00886293"</f>
        <v>00886293</v>
      </c>
      <c r="B1647" t="s">
        <v>3635</v>
      </c>
      <c r="C1647" t="s">
        <v>3646</v>
      </c>
      <c r="D1647" t="s">
        <v>25</v>
      </c>
      <c r="E1647" t="s">
        <v>26</v>
      </c>
      <c r="F1647" t="s">
        <v>17</v>
      </c>
      <c r="G1647" t="str">
        <f>"02"</f>
        <v>02</v>
      </c>
      <c r="H1647" t="str">
        <f>"3  "</f>
        <v xml:space="preserve">3  </v>
      </c>
      <c r="I1647" t="str">
        <f>"2018/07/26"</f>
        <v>2018/07/26</v>
      </c>
      <c r="J1647" t="str">
        <f>"110"</f>
        <v>110</v>
      </c>
      <c r="K1647" t="str">
        <f>"20260401"</f>
        <v>20260401</v>
      </c>
      <c r="L1647" t="str">
        <f>"20260401"</f>
        <v>20260401</v>
      </c>
      <c r="M1647" t="str">
        <f>"20101030"</f>
        <v>20101030</v>
      </c>
    </row>
    <row r="1648" spans="1:13" x14ac:dyDescent="0.25">
      <c r="A1648" t="str">
        <f>"00407056"</f>
        <v>00407056</v>
      </c>
      <c r="B1648" t="s">
        <v>3647</v>
      </c>
      <c r="C1648" t="s">
        <v>191</v>
      </c>
      <c r="D1648" t="s">
        <v>21</v>
      </c>
      <c r="E1648" t="s">
        <v>26</v>
      </c>
      <c r="F1648" t="s">
        <v>17</v>
      </c>
      <c r="G1648" t="str">
        <f>"02"</f>
        <v>02</v>
      </c>
      <c r="H1648" t="str">
        <f>"7  "</f>
        <v xml:space="preserve">7  </v>
      </c>
      <c r="I1648" t="str">
        <f>"2017/10/07"</f>
        <v>2017/10/07</v>
      </c>
      <c r="J1648" t="str">
        <f>"110"</f>
        <v>110</v>
      </c>
      <c r="K1648" t="s">
        <v>18</v>
      </c>
      <c r="L1648" t="s">
        <v>18</v>
      </c>
      <c r="M1648" t="str">
        <f>"20160226"</f>
        <v>20160226</v>
      </c>
    </row>
    <row r="1649" spans="1:13" x14ac:dyDescent="0.25">
      <c r="A1649" t="str">
        <f>"00519443"</f>
        <v>00519443</v>
      </c>
      <c r="B1649" t="s">
        <v>3647</v>
      </c>
      <c r="C1649" t="s">
        <v>14</v>
      </c>
      <c r="D1649" t="s">
        <v>25</v>
      </c>
      <c r="E1649" t="s">
        <v>26</v>
      </c>
      <c r="F1649" t="s">
        <v>17</v>
      </c>
      <c r="G1649" t="str">
        <f>"02"</f>
        <v>02</v>
      </c>
      <c r="H1649" t="str">
        <f>"3  "</f>
        <v xml:space="preserve">3  </v>
      </c>
      <c r="I1649" t="str">
        <f>"2020/07/08"</f>
        <v>2020/07/08</v>
      </c>
      <c r="J1649" t="str">
        <f>"503"</f>
        <v>503</v>
      </c>
      <c r="K1649" t="str">
        <f>"20290916"</f>
        <v>20290916</v>
      </c>
      <c r="L1649" t="s">
        <v>18</v>
      </c>
      <c r="M1649" t="str">
        <f>"20071213"</f>
        <v>20071213</v>
      </c>
    </row>
    <row r="1650" spans="1:13" x14ac:dyDescent="0.25">
      <c r="A1650" t="str">
        <f>"00086005"</f>
        <v>00086005</v>
      </c>
      <c r="B1650" t="s">
        <v>3647</v>
      </c>
      <c r="C1650" t="s">
        <v>353</v>
      </c>
      <c r="D1650" t="s">
        <v>51</v>
      </c>
      <c r="E1650" t="s">
        <v>26</v>
      </c>
      <c r="F1650" t="s">
        <v>17</v>
      </c>
      <c r="G1650" t="str">
        <f>"02"</f>
        <v>02</v>
      </c>
      <c r="H1650" t="str">
        <f>"7  "</f>
        <v xml:space="preserve">7  </v>
      </c>
      <c r="I1650" t="str">
        <f>"2018/08/28"</f>
        <v>2018/08/28</v>
      </c>
      <c r="J1650" t="str">
        <f>"503"</f>
        <v>503</v>
      </c>
      <c r="K1650" t="s">
        <v>18</v>
      </c>
      <c r="L1650" t="str">
        <f>"20200326"</f>
        <v>20200326</v>
      </c>
      <c r="M1650" t="str">
        <f>"19840921"</f>
        <v>19840921</v>
      </c>
    </row>
    <row r="1651" spans="1:13" x14ac:dyDescent="0.25">
      <c r="A1651" t="str">
        <f>"00194010"</f>
        <v>00194010</v>
      </c>
      <c r="B1651" t="s">
        <v>3647</v>
      </c>
      <c r="C1651" t="s">
        <v>2119</v>
      </c>
      <c r="D1651" t="s">
        <v>15</v>
      </c>
      <c r="E1651" t="s">
        <v>16</v>
      </c>
      <c r="F1651" t="s">
        <v>17</v>
      </c>
      <c r="G1651" t="str">
        <f>"02"</f>
        <v>02</v>
      </c>
      <c r="H1651" t="str">
        <f>"3  "</f>
        <v xml:space="preserve">3  </v>
      </c>
      <c r="I1651" t="str">
        <f>"2001/10/16"</f>
        <v>2001/10/16</v>
      </c>
      <c r="J1651" t="str">
        <f>"503"</f>
        <v>503</v>
      </c>
      <c r="K1651" t="str">
        <f>"20210126"</f>
        <v>20210126</v>
      </c>
      <c r="L1651" t="s">
        <v>18</v>
      </c>
      <c r="M1651" t="str">
        <f>"20000610"</f>
        <v>20000610</v>
      </c>
    </row>
    <row r="1652" spans="1:13" x14ac:dyDescent="0.25">
      <c r="A1652" t="str">
        <f>"00411878"</f>
        <v>00411878</v>
      </c>
      <c r="B1652" t="s">
        <v>3647</v>
      </c>
      <c r="C1652" t="s">
        <v>55</v>
      </c>
      <c r="D1652" t="s">
        <v>142</v>
      </c>
      <c r="E1652" t="s">
        <v>26</v>
      </c>
      <c r="F1652" t="s">
        <v>17</v>
      </c>
      <c r="G1652" t="str">
        <f>"02"</f>
        <v>02</v>
      </c>
      <c r="H1652" t="str">
        <f>"3  "</f>
        <v xml:space="preserve">3  </v>
      </c>
      <c r="I1652" t="str">
        <f>"2015/01/21"</f>
        <v>2015/01/21</v>
      </c>
      <c r="J1652" t="str">
        <f>"510"</f>
        <v>510</v>
      </c>
      <c r="K1652" t="str">
        <f>"20231212"</f>
        <v>20231212</v>
      </c>
      <c r="L1652" t="s">
        <v>18</v>
      </c>
      <c r="M1652" t="str">
        <f>"20130321"</f>
        <v>20130321</v>
      </c>
    </row>
    <row r="1653" spans="1:13" x14ac:dyDescent="0.25">
      <c r="A1653" t="str">
        <f>"00188850"</f>
        <v>00188850</v>
      </c>
      <c r="B1653" t="s">
        <v>3647</v>
      </c>
      <c r="C1653" t="s">
        <v>294</v>
      </c>
      <c r="D1653" t="s">
        <v>15</v>
      </c>
      <c r="E1653" t="s">
        <v>16</v>
      </c>
      <c r="F1653" t="s">
        <v>17</v>
      </c>
      <c r="G1653" t="str">
        <f>"02"</f>
        <v>02</v>
      </c>
      <c r="H1653" t="str">
        <f>"7  "</f>
        <v xml:space="preserve">7  </v>
      </c>
      <c r="I1653" t="str">
        <f>"2010/10/05"</f>
        <v>2010/10/05</v>
      </c>
      <c r="J1653" t="str">
        <f>"503"</f>
        <v>503</v>
      </c>
      <c r="K1653" t="s">
        <v>18</v>
      </c>
      <c r="L1653" t="str">
        <f>"20090321"</f>
        <v>20090321</v>
      </c>
      <c r="M1653" t="str">
        <f>"20050322"</f>
        <v>20050322</v>
      </c>
    </row>
    <row r="1654" spans="1:13" x14ac:dyDescent="0.25">
      <c r="A1654" t="str">
        <f>"00819307"</f>
        <v>00819307</v>
      </c>
      <c r="B1654" t="s">
        <v>3650</v>
      </c>
      <c r="C1654" t="s">
        <v>592</v>
      </c>
      <c r="D1654" t="s">
        <v>45</v>
      </c>
      <c r="E1654" t="s">
        <v>26</v>
      </c>
      <c r="F1654" t="s">
        <v>17</v>
      </c>
      <c r="G1654" t="str">
        <f>"02"</f>
        <v>02</v>
      </c>
      <c r="H1654" t="str">
        <f>"3  "</f>
        <v xml:space="preserve">3  </v>
      </c>
      <c r="I1654" t="str">
        <f>"2019/04/01"</f>
        <v>2019/04/01</v>
      </c>
      <c r="J1654" t="str">
        <f>"510"</f>
        <v>510</v>
      </c>
      <c r="K1654" t="str">
        <f>"20260604"</f>
        <v>20260604</v>
      </c>
      <c r="L1654" t="s">
        <v>18</v>
      </c>
      <c r="M1654" t="str">
        <f>"20170519"</f>
        <v>20170519</v>
      </c>
    </row>
    <row r="1655" spans="1:13" x14ac:dyDescent="0.25">
      <c r="A1655" t="str">
        <f>"00311739"</f>
        <v>00311739</v>
      </c>
      <c r="B1655" t="s">
        <v>3652</v>
      </c>
      <c r="C1655" t="s">
        <v>3653</v>
      </c>
      <c r="D1655" t="s">
        <v>45</v>
      </c>
      <c r="E1655" t="s">
        <v>26</v>
      </c>
      <c r="F1655" t="s">
        <v>17</v>
      </c>
      <c r="G1655" t="str">
        <f>"02"</f>
        <v>02</v>
      </c>
      <c r="H1655" t="str">
        <f>"3  "</f>
        <v xml:space="preserve">3  </v>
      </c>
      <c r="I1655" t="str">
        <f>"2015/10/23"</f>
        <v>2015/10/23</v>
      </c>
      <c r="J1655" t="str">
        <f>"110"</f>
        <v>110</v>
      </c>
      <c r="K1655" t="str">
        <f>"20230627"</f>
        <v>20230627</v>
      </c>
      <c r="L1655" t="s">
        <v>18</v>
      </c>
      <c r="M1655" t="str">
        <f>"20141109"</f>
        <v>20141109</v>
      </c>
    </row>
    <row r="1656" spans="1:13" x14ac:dyDescent="0.25">
      <c r="A1656" t="str">
        <f>"00431270"</f>
        <v>00431270</v>
      </c>
      <c r="B1656" t="s">
        <v>3663</v>
      </c>
      <c r="C1656" t="s">
        <v>148</v>
      </c>
      <c r="D1656" t="s">
        <v>16</v>
      </c>
      <c r="E1656" t="s">
        <v>16</v>
      </c>
      <c r="F1656" t="s">
        <v>17</v>
      </c>
      <c r="G1656" t="str">
        <f>"02"</f>
        <v>02</v>
      </c>
      <c r="H1656" t="str">
        <f>"3  "</f>
        <v xml:space="preserve">3  </v>
      </c>
      <c r="I1656" t="str">
        <f>"2017/10/30"</f>
        <v>2017/10/30</v>
      </c>
      <c r="J1656" t="str">
        <f>"110"</f>
        <v>110</v>
      </c>
      <c r="K1656" t="str">
        <f>"20390223"</f>
        <v>20390223</v>
      </c>
      <c r="L1656" t="s">
        <v>18</v>
      </c>
      <c r="M1656" t="str">
        <f>"20161003"</f>
        <v>20161003</v>
      </c>
    </row>
    <row r="1657" spans="1:13" x14ac:dyDescent="0.25">
      <c r="A1657" t="str">
        <f>"00252333"</f>
        <v>00252333</v>
      </c>
      <c r="B1657" t="s">
        <v>3664</v>
      </c>
      <c r="C1657" t="s">
        <v>99</v>
      </c>
      <c r="D1657" t="s">
        <v>53</v>
      </c>
      <c r="E1657" t="s">
        <v>26</v>
      </c>
      <c r="F1657" t="s">
        <v>17</v>
      </c>
      <c r="G1657" t="str">
        <f>"02"</f>
        <v>02</v>
      </c>
      <c r="H1657" t="str">
        <f>"3  "</f>
        <v xml:space="preserve">3  </v>
      </c>
      <c r="I1657" t="str">
        <f>"2018/11/27"</f>
        <v>2018/11/27</v>
      </c>
      <c r="J1657" t="str">
        <f>"510"</f>
        <v>510</v>
      </c>
      <c r="K1657" t="str">
        <f>"20350619"</f>
        <v>20350619</v>
      </c>
      <c r="L1657" t="s">
        <v>18</v>
      </c>
      <c r="M1657" t="str">
        <f>"20170822"</f>
        <v>20170822</v>
      </c>
    </row>
    <row r="1658" spans="1:13" x14ac:dyDescent="0.25">
      <c r="A1658" t="str">
        <f>"00381464"</f>
        <v>00381464</v>
      </c>
      <c r="B1658" t="s">
        <v>3664</v>
      </c>
      <c r="C1658" t="s">
        <v>320</v>
      </c>
      <c r="D1658" t="s">
        <v>25</v>
      </c>
      <c r="E1658" t="s">
        <v>26</v>
      </c>
      <c r="F1658" t="s">
        <v>17</v>
      </c>
      <c r="G1658" t="str">
        <f>"02"</f>
        <v>02</v>
      </c>
      <c r="H1658" t="str">
        <f>"3  "</f>
        <v xml:space="preserve">3  </v>
      </c>
      <c r="I1658" t="str">
        <f>"2002/09/23"</f>
        <v>2002/09/23</v>
      </c>
      <c r="J1658" t="str">
        <f>"503"</f>
        <v>503</v>
      </c>
      <c r="K1658" t="str">
        <f>"20830316"</f>
        <v>20830316</v>
      </c>
      <c r="L1658" t="s">
        <v>18</v>
      </c>
      <c r="M1658" t="str">
        <f>"20020425"</f>
        <v>20020425</v>
      </c>
    </row>
    <row r="1659" spans="1:13" x14ac:dyDescent="0.25">
      <c r="A1659" t="str">
        <f>"00527042"</f>
        <v>00527042</v>
      </c>
      <c r="B1659" t="s">
        <v>3665</v>
      </c>
      <c r="C1659" t="s">
        <v>959</v>
      </c>
      <c r="D1659" t="s">
        <v>40</v>
      </c>
      <c r="E1659" t="s">
        <v>26</v>
      </c>
      <c r="F1659" t="s">
        <v>17</v>
      </c>
      <c r="G1659" t="str">
        <f>"02"</f>
        <v>02</v>
      </c>
      <c r="H1659" t="str">
        <f>"3  "</f>
        <v xml:space="preserve">3  </v>
      </c>
      <c r="I1659" t="str">
        <f>"2020/07/21"</f>
        <v>2020/07/21</v>
      </c>
      <c r="J1659" t="str">
        <f>"533"</f>
        <v>533</v>
      </c>
      <c r="K1659" t="str">
        <f>"20250124"</f>
        <v>20250124</v>
      </c>
      <c r="L1659" t="s">
        <v>18</v>
      </c>
      <c r="M1659" t="str">
        <f>"20151012"</f>
        <v>20151012</v>
      </c>
    </row>
    <row r="1660" spans="1:13" x14ac:dyDescent="0.25">
      <c r="A1660" t="str">
        <f>"00585171"</f>
        <v>00585171</v>
      </c>
      <c r="B1660" t="s">
        <v>3666</v>
      </c>
      <c r="C1660" t="s">
        <v>3667</v>
      </c>
      <c r="D1660" t="s">
        <v>25</v>
      </c>
      <c r="E1660" t="s">
        <v>16</v>
      </c>
      <c r="F1660" t="s">
        <v>17</v>
      </c>
      <c r="G1660" t="str">
        <f>"02"</f>
        <v>02</v>
      </c>
      <c r="H1660" t="str">
        <f>"3  "</f>
        <v xml:space="preserve">3  </v>
      </c>
      <c r="I1660" t="str">
        <f>"2012/08/20"</f>
        <v>2012/08/20</v>
      </c>
      <c r="J1660" t="str">
        <f>"510"</f>
        <v>510</v>
      </c>
      <c r="K1660" t="str">
        <f>"20211011"</f>
        <v>20211011</v>
      </c>
      <c r="L1660" t="s">
        <v>18</v>
      </c>
      <c r="M1660" t="str">
        <f>"20110220"</f>
        <v>20110220</v>
      </c>
    </row>
    <row r="1661" spans="1:13" x14ac:dyDescent="0.25">
      <c r="A1661" t="str">
        <f>"00426041"</f>
        <v>00426041</v>
      </c>
      <c r="B1661" t="s">
        <v>3668</v>
      </c>
      <c r="C1661" t="s">
        <v>136</v>
      </c>
      <c r="D1661" t="s">
        <v>25</v>
      </c>
      <c r="E1661" t="s">
        <v>26</v>
      </c>
      <c r="F1661" t="s">
        <v>17</v>
      </c>
      <c r="G1661" t="str">
        <f>"02"</f>
        <v>02</v>
      </c>
      <c r="H1661" t="str">
        <f>"3  "</f>
        <v xml:space="preserve">3  </v>
      </c>
      <c r="I1661" t="str">
        <f>"2005/08/12"</f>
        <v>2005/08/12</v>
      </c>
      <c r="J1661" t="str">
        <f>"510"</f>
        <v>510</v>
      </c>
      <c r="K1661" t="str">
        <f>"20290110"</f>
        <v>20290110</v>
      </c>
      <c r="L1661" t="s">
        <v>18</v>
      </c>
      <c r="M1661" t="str">
        <f>"20041027"</f>
        <v>20041027</v>
      </c>
    </row>
    <row r="1662" spans="1:13" x14ac:dyDescent="0.25">
      <c r="A1662" t="str">
        <f>"00161434"</f>
        <v>00161434</v>
      </c>
      <c r="B1662" t="s">
        <v>3673</v>
      </c>
      <c r="C1662" t="s">
        <v>122</v>
      </c>
      <c r="D1662" t="s">
        <v>25</v>
      </c>
      <c r="E1662" t="s">
        <v>26</v>
      </c>
      <c r="F1662" t="s">
        <v>17</v>
      </c>
      <c r="G1662" t="str">
        <f>"02"</f>
        <v>02</v>
      </c>
      <c r="H1662" t="str">
        <f>"3  "</f>
        <v xml:space="preserve">3  </v>
      </c>
      <c r="I1662" t="str">
        <f>"2006/02/22"</f>
        <v>2006/02/22</v>
      </c>
      <c r="J1662" t="str">
        <f>"110"</f>
        <v>110</v>
      </c>
      <c r="K1662" t="str">
        <f>"20231111"</f>
        <v>20231111</v>
      </c>
      <c r="L1662" t="s">
        <v>18</v>
      </c>
      <c r="M1662" t="str">
        <f>"20051210"</f>
        <v>20051210</v>
      </c>
    </row>
    <row r="1663" spans="1:13" x14ac:dyDescent="0.25">
      <c r="A1663" t="str">
        <f>"00591605"</f>
        <v>00591605</v>
      </c>
      <c r="B1663" t="s">
        <v>3679</v>
      </c>
      <c r="C1663" t="s">
        <v>1289</v>
      </c>
      <c r="D1663" t="s">
        <v>16</v>
      </c>
      <c r="E1663" t="s">
        <v>16</v>
      </c>
      <c r="F1663" t="s">
        <v>17</v>
      </c>
      <c r="G1663" t="str">
        <f>"02"</f>
        <v>02</v>
      </c>
      <c r="H1663" t="str">
        <f>"3  "</f>
        <v xml:space="preserve">3  </v>
      </c>
      <c r="I1663" t="str">
        <f>"2019/01/24"</f>
        <v>2019/01/24</v>
      </c>
      <c r="J1663" t="str">
        <f>"503"</f>
        <v>503</v>
      </c>
      <c r="K1663" t="str">
        <f>"20240213"</f>
        <v>20240213</v>
      </c>
      <c r="L1663" t="s">
        <v>18</v>
      </c>
      <c r="M1663" t="str">
        <f>"20170120"</f>
        <v>20170120</v>
      </c>
    </row>
    <row r="1664" spans="1:13" x14ac:dyDescent="0.25">
      <c r="A1664" t="str">
        <f>"00371354"</f>
        <v>00371354</v>
      </c>
      <c r="B1664" t="s">
        <v>3683</v>
      </c>
      <c r="C1664" t="s">
        <v>3346</v>
      </c>
      <c r="D1664" t="s">
        <v>53</v>
      </c>
      <c r="E1664" t="s">
        <v>26</v>
      </c>
      <c r="F1664" t="s">
        <v>17</v>
      </c>
      <c r="G1664" t="str">
        <f>"02"</f>
        <v>02</v>
      </c>
      <c r="H1664" t="str">
        <f>"7  "</f>
        <v xml:space="preserve">7  </v>
      </c>
      <c r="I1664" t="str">
        <f>"2020/09/16"</f>
        <v>2020/09/16</v>
      </c>
      <c r="J1664" t="str">
        <f>"533"</f>
        <v>533</v>
      </c>
      <c r="K1664" t="s">
        <v>18</v>
      </c>
      <c r="L1664" t="s">
        <v>18</v>
      </c>
      <c r="M1664" t="str">
        <f>"20021108"</f>
        <v>20021108</v>
      </c>
    </row>
    <row r="1665" spans="1:13" x14ac:dyDescent="0.25">
      <c r="A1665" t="str">
        <f>"00235282"</f>
        <v>00235282</v>
      </c>
      <c r="B1665" t="s">
        <v>3684</v>
      </c>
      <c r="C1665" t="s">
        <v>827</v>
      </c>
      <c r="D1665" t="s">
        <v>15</v>
      </c>
      <c r="E1665" t="s">
        <v>26</v>
      </c>
      <c r="F1665" t="s">
        <v>17</v>
      </c>
      <c r="G1665" t="str">
        <f>"02"</f>
        <v>02</v>
      </c>
      <c r="H1665" t="str">
        <f>"3  "</f>
        <v xml:space="preserve">3  </v>
      </c>
      <c r="I1665" t="str">
        <f>"2020/08/05"</f>
        <v>2020/08/05</v>
      </c>
      <c r="J1665" t="str">
        <f>"533"</f>
        <v>533</v>
      </c>
      <c r="K1665" t="str">
        <f>"20300122"</f>
        <v>20300122</v>
      </c>
      <c r="L1665" t="s">
        <v>18</v>
      </c>
      <c r="M1665" t="str">
        <f>"20160817"</f>
        <v>20160817</v>
      </c>
    </row>
    <row r="1666" spans="1:13" x14ac:dyDescent="0.25">
      <c r="A1666" t="str">
        <f>"00571380"</f>
        <v>00571380</v>
      </c>
      <c r="B1666" t="s">
        <v>3684</v>
      </c>
      <c r="C1666" t="s">
        <v>218</v>
      </c>
      <c r="D1666" t="s">
        <v>25</v>
      </c>
      <c r="E1666" t="s">
        <v>16</v>
      </c>
      <c r="F1666" t="s">
        <v>17</v>
      </c>
      <c r="G1666" t="str">
        <f>"02"</f>
        <v>02</v>
      </c>
      <c r="H1666" t="str">
        <f>"3  "</f>
        <v xml:space="preserve">3  </v>
      </c>
      <c r="I1666" t="str">
        <f>"2011/11/22"</f>
        <v>2011/11/22</v>
      </c>
      <c r="J1666" t="str">
        <f>"110"</f>
        <v>110</v>
      </c>
      <c r="K1666" t="str">
        <f>"20221206"</f>
        <v>20221206</v>
      </c>
      <c r="L1666" t="s">
        <v>18</v>
      </c>
      <c r="M1666" t="str">
        <f>"20100708"</f>
        <v>20100708</v>
      </c>
    </row>
    <row r="1667" spans="1:13" x14ac:dyDescent="0.25">
      <c r="A1667" t="str">
        <f>"00228528"</f>
        <v>00228528</v>
      </c>
      <c r="B1667" t="s">
        <v>3684</v>
      </c>
      <c r="C1667" t="s">
        <v>48</v>
      </c>
      <c r="D1667" t="s">
        <v>51</v>
      </c>
      <c r="E1667" t="s">
        <v>16</v>
      </c>
      <c r="F1667" t="s">
        <v>17</v>
      </c>
      <c r="G1667" t="str">
        <f>"02"</f>
        <v>02</v>
      </c>
      <c r="H1667" t="str">
        <f>"3  "</f>
        <v xml:space="preserve">3  </v>
      </c>
      <c r="I1667" t="str">
        <f>"2005/09/14"</f>
        <v>2005/09/14</v>
      </c>
      <c r="J1667" t="str">
        <f>"503"</f>
        <v>503</v>
      </c>
      <c r="K1667" t="str">
        <f>"20610126"</f>
        <v>20610126</v>
      </c>
      <c r="L1667" t="str">
        <f>"20140730"</f>
        <v>20140730</v>
      </c>
      <c r="M1667" t="str">
        <f>"19890429"</f>
        <v>19890429</v>
      </c>
    </row>
    <row r="1668" spans="1:13" x14ac:dyDescent="0.25">
      <c r="A1668" t="str">
        <f>"00458860"</f>
        <v>00458860</v>
      </c>
      <c r="B1668" t="s">
        <v>3685</v>
      </c>
      <c r="C1668" t="s">
        <v>42</v>
      </c>
      <c r="D1668" t="s">
        <v>25</v>
      </c>
      <c r="E1668" t="s">
        <v>16</v>
      </c>
      <c r="F1668" t="s">
        <v>17</v>
      </c>
      <c r="G1668" t="str">
        <f>"02"</f>
        <v>02</v>
      </c>
      <c r="H1668" t="str">
        <f>"3  "</f>
        <v xml:space="preserve">3  </v>
      </c>
      <c r="I1668" t="str">
        <f>"2004/09/30"</f>
        <v>2004/09/30</v>
      </c>
      <c r="J1668" t="str">
        <f>"510"</f>
        <v>510</v>
      </c>
      <c r="K1668" t="str">
        <f>"20210619"</f>
        <v>20210619</v>
      </c>
      <c r="L1668" t="s">
        <v>18</v>
      </c>
      <c r="M1668" t="str">
        <f>"20030707"</f>
        <v>20030707</v>
      </c>
    </row>
    <row r="1669" spans="1:13" x14ac:dyDescent="0.25">
      <c r="A1669" t="str">
        <f>"00567448"</f>
        <v>00567448</v>
      </c>
      <c r="B1669" t="s">
        <v>3689</v>
      </c>
      <c r="C1669" t="s">
        <v>122</v>
      </c>
      <c r="D1669" t="s">
        <v>15</v>
      </c>
      <c r="E1669" t="s">
        <v>16</v>
      </c>
      <c r="F1669" t="s">
        <v>17</v>
      </c>
      <c r="G1669" t="str">
        <f>"02"</f>
        <v>02</v>
      </c>
      <c r="H1669" t="str">
        <f>"3  "</f>
        <v xml:space="preserve">3  </v>
      </c>
      <c r="I1669" t="str">
        <f>"2015/10/05"</f>
        <v>2015/10/05</v>
      </c>
      <c r="J1669" t="str">
        <f>"110"</f>
        <v>110</v>
      </c>
      <c r="K1669" t="str">
        <f>"20240123"</f>
        <v>20240123</v>
      </c>
      <c r="L1669" t="s">
        <v>18</v>
      </c>
      <c r="M1669" t="str">
        <f>"20150529"</f>
        <v>20150529</v>
      </c>
    </row>
    <row r="1670" spans="1:13" x14ac:dyDescent="0.25">
      <c r="A1670" t="str">
        <f>"00531931"</f>
        <v>00531931</v>
      </c>
      <c r="B1670" t="s">
        <v>3691</v>
      </c>
      <c r="C1670" t="s">
        <v>1409</v>
      </c>
      <c r="D1670" t="s">
        <v>25</v>
      </c>
      <c r="E1670" t="s">
        <v>26</v>
      </c>
      <c r="F1670" t="s">
        <v>17</v>
      </c>
      <c r="G1670" t="str">
        <f>"02"</f>
        <v>02</v>
      </c>
      <c r="H1670" t="str">
        <f>"3  "</f>
        <v xml:space="preserve">3  </v>
      </c>
      <c r="I1670" t="str">
        <f>"2018/05/16"</f>
        <v>2018/05/16</v>
      </c>
      <c r="J1670" t="str">
        <f>"503"</f>
        <v>503</v>
      </c>
      <c r="K1670" t="str">
        <f>"20220121"</f>
        <v>20220121</v>
      </c>
      <c r="L1670" t="s">
        <v>18</v>
      </c>
      <c r="M1670" t="str">
        <f>"20140122"</f>
        <v>20140122</v>
      </c>
    </row>
    <row r="1671" spans="1:13" x14ac:dyDescent="0.25">
      <c r="A1671" t="str">
        <f>"00271771"</f>
        <v>00271771</v>
      </c>
      <c r="B1671" t="s">
        <v>3699</v>
      </c>
      <c r="C1671" t="s">
        <v>1021</v>
      </c>
      <c r="D1671" t="s">
        <v>51</v>
      </c>
      <c r="E1671" t="s">
        <v>26</v>
      </c>
      <c r="F1671" t="s">
        <v>17</v>
      </c>
      <c r="G1671" t="str">
        <f>"02"</f>
        <v>02</v>
      </c>
      <c r="H1671" t="str">
        <f>"7  "</f>
        <v xml:space="preserve">7  </v>
      </c>
      <c r="I1671" t="str">
        <f>"2001/01/24"</f>
        <v>2001/01/24</v>
      </c>
      <c r="J1671" t="str">
        <f>"533"</f>
        <v>533</v>
      </c>
      <c r="K1671" t="s">
        <v>18</v>
      </c>
      <c r="L1671" t="s">
        <v>18</v>
      </c>
      <c r="M1671" t="str">
        <f>"19910830"</f>
        <v>19910830</v>
      </c>
    </row>
    <row r="1672" spans="1:13" x14ac:dyDescent="0.25">
      <c r="A1672" t="str">
        <f>"00476399"</f>
        <v>00476399</v>
      </c>
      <c r="B1672" t="s">
        <v>3700</v>
      </c>
      <c r="C1672" t="s">
        <v>118</v>
      </c>
      <c r="D1672" t="s">
        <v>26</v>
      </c>
      <c r="E1672" t="s">
        <v>26</v>
      </c>
      <c r="F1672" t="s">
        <v>17</v>
      </c>
      <c r="G1672" t="str">
        <f>"02"</f>
        <v>02</v>
      </c>
      <c r="H1672" t="str">
        <f>"7  "</f>
        <v xml:space="preserve">7  </v>
      </c>
      <c r="I1672" t="str">
        <f>"2003/05/13"</f>
        <v>2003/05/13</v>
      </c>
      <c r="J1672" t="str">
        <f>"510"</f>
        <v>510</v>
      </c>
      <c r="K1672" t="s">
        <v>18</v>
      </c>
      <c r="L1672" t="s">
        <v>18</v>
      </c>
      <c r="M1672" t="str">
        <f>"20020125"</f>
        <v>20020125</v>
      </c>
    </row>
    <row r="1673" spans="1:13" x14ac:dyDescent="0.25">
      <c r="A1673" t="str">
        <f>"00538566"</f>
        <v>00538566</v>
      </c>
      <c r="B1673" t="s">
        <v>3701</v>
      </c>
      <c r="C1673" t="s">
        <v>1976</v>
      </c>
      <c r="D1673" t="s">
        <v>25</v>
      </c>
      <c r="E1673" t="s">
        <v>26</v>
      </c>
      <c r="F1673" t="s">
        <v>17</v>
      </c>
      <c r="G1673" t="str">
        <f>"02"</f>
        <v>02</v>
      </c>
      <c r="H1673" t="str">
        <f>"3  "</f>
        <v xml:space="preserve">3  </v>
      </c>
      <c r="I1673" t="str">
        <f>"2020/07/21"</f>
        <v>2020/07/21</v>
      </c>
      <c r="J1673" t="str">
        <f>"533"</f>
        <v>533</v>
      </c>
      <c r="K1673" t="str">
        <f>"20261023"</f>
        <v>20261023</v>
      </c>
      <c r="L1673" t="s">
        <v>18</v>
      </c>
      <c r="M1673" t="str">
        <f>"20090917"</f>
        <v>20090917</v>
      </c>
    </row>
    <row r="1674" spans="1:13" x14ac:dyDescent="0.25">
      <c r="A1674" t="str">
        <f>"00452654"</f>
        <v>00452654</v>
      </c>
      <c r="B1674" t="s">
        <v>3704</v>
      </c>
      <c r="C1674" t="s">
        <v>3705</v>
      </c>
      <c r="D1674" t="s">
        <v>61</v>
      </c>
      <c r="E1674" t="s">
        <v>26</v>
      </c>
      <c r="F1674" t="s">
        <v>17</v>
      </c>
      <c r="G1674" t="str">
        <f>"02"</f>
        <v>02</v>
      </c>
      <c r="H1674" t="str">
        <f>"3  "</f>
        <v xml:space="preserve">3  </v>
      </c>
      <c r="I1674" t="str">
        <f>"2010/05/13"</f>
        <v>2010/05/13</v>
      </c>
      <c r="J1674" t="str">
        <f>"110"</f>
        <v>110</v>
      </c>
      <c r="K1674" t="str">
        <f>"20240905"</f>
        <v>20240905</v>
      </c>
      <c r="L1674" t="s">
        <v>18</v>
      </c>
      <c r="M1674" t="str">
        <f>"20080906"</f>
        <v>20080906</v>
      </c>
    </row>
    <row r="1675" spans="1:13" x14ac:dyDescent="0.25">
      <c r="A1675" t="str">
        <f>"00518562"</f>
        <v>00518562</v>
      </c>
      <c r="B1675" t="s">
        <v>3707</v>
      </c>
      <c r="C1675" t="s">
        <v>563</v>
      </c>
      <c r="D1675" t="s">
        <v>40</v>
      </c>
      <c r="E1675" t="s">
        <v>26</v>
      </c>
      <c r="F1675" t="s">
        <v>17</v>
      </c>
      <c r="G1675" t="str">
        <f>"02"</f>
        <v>02</v>
      </c>
      <c r="H1675" t="str">
        <f>"3  "</f>
        <v xml:space="preserve">3  </v>
      </c>
      <c r="I1675" t="str">
        <f>"2017/02/22"</f>
        <v>2017/02/22</v>
      </c>
      <c r="J1675" t="str">
        <f>"110"</f>
        <v>110</v>
      </c>
      <c r="K1675" t="str">
        <f>"20220510"</f>
        <v>20220510</v>
      </c>
      <c r="L1675" t="s">
        <v>18</v>
      </c>
      <c r="M1675" t="str">
        <f>"20160311"</f>
        <v>20160311</v>
      </c>
    </row>
    <row r="1676" spans="1:13" x14ac:dyDescent="0.25">
      <c r="A1676" t="str">
        <f>"00268566"</f>
        <v>00268566</v>
      </c>
      <c r="B1676" t="s">
        <v>3710</v>
      </c>
      <c r="C1676" t="s">
        <v>118</v>
      </c>
      <c r="D1676" t="s">
        <v>25</v>
      </c>
      <c r="E1676" t="s">
        <v>16</v>
      </c>
      <c r="F1676" t="s">
        <v>17</v>
      </c>
      <c r="G1676" t="str">
        <f>"02"</f>
        <v>02</v>
      </c>
      <c r="H1676" t="str">
        <f>"7  "</f>
        <v xml:space="preserve">7  </v>
      </c>
      <c r="I1676" t="str">
        <f>"2001/01/24"</f>
        <v>2001/01/24</v>
      </c>
      <c r="J1676" t="str">
        <f>"533"</f>
        <v>533</v>
      </c>
      <c r="K1676" t="s">
        <v>18</v>
      </c>
      <c r="L1676" t="s">
        <v>18</v>
      </c>
      <c r="M1676" t="str">
        <f>"19910715"</f>
        <v>19910715</v>
      </c>
    </row>
    <row r="1677" spans="1:13" x14ac:dyDescent="0.25">
      <c r="A1677" t="str">
        <f>"00887126"</f>
        <v>00887126</v>
      </c>
      <c r="B1677" t="s">
        <v>3711</v>
      </c>
      <c r="C1677" t="s">
        <v>176</v>
      </c>
      <c r="D1677" t="s">
        <v>51</v>
      </c>
      <c r="E1677" t="s">
        <v>16</v>
      </c>
      <c r="F1677" t="s">
        <v>17</v>
      </c>
      <c r="G1677" t="str">
        <f>"02"</f>
        <v>02</v>
      </c>
      <c r="H1677" t="str">
        <f>"3  "</f>
        <v xml:space="preserve">3  </v>
      </c>
      <c r="I1677" t="str">
        <f>"2019/03/15"</f>
        <v>2019/03/15</v>
      </c>
      <c r="J1677" t="str">
        <f>"503"</f>
        <v>503</v>
      </c>
      <c r="K1677" t="str">
        <f>"20410827"</f>
        <v>20410827</v>
      </c>
      <c r="L1677" t="s">
        <v>18</v>
      </c>
      <c r="M1677" t="str">
        <f>"20190211"</f>
        <v>20190211</v>
      </c>
    </row>
    <row r="1678" spans="1:13" x14ac:dyDescent="0.25">
      <c r="A1678" t="str">
        <f>"00702676"</f>
        <v>00702676</v>
      </c>
      <c r="B1678" t="s">
        <v>3712</v>
      </c>
      <c r="C1678" t="s">
        <v>49</v>
      </c>
      <c r="D1678" t="s">
        <v>51</v>
      </c>
      <c r="E1678" t="s">
        <v>26</v>
      </c>
      <c r="F1678" t="s">
        <v>17</v>
      </c>
      <c r="G1678" t="str">
        <f>"02"</f>
        <v>02</v>
      </c>
      <c r="H1678" t="str">
        <f>"3  "</f>
        <v xml:space="preserve">3  </v>
      </c>
      <c r="I1678" t="str">
        <f>"2020/08/11"</f>
        <v>2020/08/11</v>
      </c>
      <c r="J1678" t="str">
        <f>"510"</f>
        <v>510</v>
      </c>
      <c r="K1678" t="str">
        <f>"20230530"</f>
        <v>20230530</v>
      </c>
      <c r="L1678" t="s">
        <v>18</v>
      </c>
      <c r="M1678" t="str">
        <f>"20191011"</f>
        <v>20191011</v>
      </c>
    </row>
    <row r="1679" spans="1:13" x14ac:dyDescent="0.25">
      <c r="A1679" t="str">
        <f>"00724839"</f>
        <v>00724839</v>
      </c>
      <c r="B1679" t="s">
        <v>3715</v>
      </c>
      <c r="C1679" t="s">
        <v>14</v>
      </c>
      <c r="D1679" t="s">
        <v>26</v>
      </c>
      <c r="E1679" t="s">
        <v>16</v>
      </c>
      <c r="F1679" t="s">
        <v>17</v>
      </c>
      <c r="G1679" t="str">
        <f>"02"</f>
        <v>02</v>
      </c>
      <c r="H1679" t="str">
        <f>"3  "</f>
        <v xml:space="preserve">3  </v>
      </c>
      <c r="I1679" t="str">
        <f>"2017/03/24"</f>
        <v>2017/03/24</v>
      </c>
      <c r="J1679" t="str">
        <f>"110"</f>
        <v>110</v>
      </c>
      <c r="K1679" t="str">
        <f>"20211201"</f>
        <v>20211201</v>
      </c>
      <c r="L1679" t="s">
        <v>18</v>
      </c>
      <c r="M1679" t="str">
        <f>"20160512"</f>
        <v>20160512</v>
      </c>
    </row>
    <row r="1680" spans="1:13" x14ac:dyDescent="0.25">
      <c r="A1680" t="str">
        <f>"00685797"</f>
        <v>00685797</v>
      </c>
      <c r="B1680" t="s">
        <v>3715</v>
      </c>
      <c r="C1680" t="s">
        <v>1084</v>
      </c>
      <c r="D1680" t="s">
        <v>25</v>
      </c>
      <c r="E1680" t="s">
        <v>26</v>
      </c>
      <c r="F1680" t="s">
        <v>17</v>
      </c>
      <c r="G1680" t="str">
        <f>"02"</f>
        <v>02</v>
      </c>
      <c r="H1680" t="str">
        <f>"3  "</f>
        <v xml:space="preserve">3  </v>
      </c>
      <c r="I1680" t="str">
        <f>"2018/08/29"</f>
        <v>2018/08/29</v>
      </c>
      <c r="J1680" t="str">
        <f>"503"</f>
        <v>503</v>
      </c>
      <c r="K1680" t="str">
        <f>"20221003"</f>
        <v>20221003</v>
      </c>
      <c r="L1680" t="s">
        <v>18</v>
      </c>
      <c r="M1680" t="str">
        <f>"20160112"</f>
        <v>20160112</v>
      </c>
    </row>
    <row r="1681" spans="1:13" x14ac:dyDescent="0.25">
      <c r="A1681" t="str">
        <f>"00474202"</f>
        <v>00474202</v>
      </c>
      <c r="B1681" t="s">
        <v>3715</v>
      </c>
      <c r="C1681" t="s">
        <v>308</v>
      </c>
      <c r="D1681" t="s">
        <v>15</v>
      </c>
      <c r="E1681" t="s">
        <v>26</v>
      </c>
      <c r="F1681" t="s">
        <v>17</v>
      </c>
      <c r="G1681" t="str">
        <f>"02"</f>
        <v>02</v>
      </c>
      <c r="H1681" t="str">
        <f>"3  "</f>
        <v xml:space="preserve">3  </v>
      </c>
      <c r="I1681" t="str">
        <f>"2019/10/31"</f>
        <v>2019/10/31</v>
      </c>
      <c r="J1681" t="str">
        <f>"533"</f>
        <v>533</v>
      </c>
      <c r="K1681" t="str">
        <f>"20300311"</f>
        <v>20300311</v>
      </c>
      <c r="L1681" t="s">
        <v>18</v>
      </c>
      <c r="M1681" t="str">
        <f>"20160910"</f>
        <v>20160910</v>
      </c>
    </row>
    <row r="1682" spans="1:13" x14ac:dyDescent="0.25">
      <c r="A1682" t="str">
        <f>"00425716"</f>
        <v>00425716</v>
      </c>
      <c r="B1682" t="s">
        <v>3715</v>
      </c>
      <c r="C1682" t="s">
        <v>3716</v>
      </c>
      <c r="D1682" t="s">
        <v>26</v>
      </c>
      <c r="E1682" t="s">
        <v>26</v>
      </c>
      <c r="F1682" t="s">
        <v>17</v>
      </c>
      <c r="G1682" t="str">
        <f>"02"</f>
        <v>02</v>
      </c>
      <c r="H1682" t="str">
        <f>"7  "</f>
        <v xml:space="preserve">7  </v>
      </c>
      <c r="I1682" t="str">
        <f>"2014/01/29"</f>
        <v>2014/01/29</v>
      </c>
      <c r="J1682" t="str">
        <f>"510"</f>
        <v>510</v>
      </c>
      <c r="K1682" t="s">
        <v>18</v>
      </c>
      <c r="L1682" t="s">
        <v>18</v>
      </c>
      <c r="M1682" t="str">
        <f>"20110923"</f>
        <v>20110923</v>
      </c>
    </row>
    <row r="1683" spans="1:13" x14ac:dyDescent="0.25">
      <c r="A1683" t="str">
        <f>"00162414"</f>
        <v>00162414</v>
      </c>
      <c r="B1683" t="s">
        <v>3715</v>
      </c>
      <c r="C1683" t="s">
        <v>150</v>
      </c>
      <c r="D1683" t="s">
        <v>51</v>
      </c>
      <c r="E1683" t="s">
        <v>26</v>
      </c>
      <c r="F1683" t="s">
        <v>17</v>
      </c>
      <c r="G1683" t="str">
        <f>"02"</f>
        <v>02</v>
      </c>
      <c r="H1683" t="str">
        <f>"7  "</f>
        <v xml:space="preserve">7  </v>
      </c>
      <c r="I1683" t="str">
        <f>"1986/06/13"</f>
        <v>1986/06/13</v>
      </c>
      <c r="J1683" t="str">
        <f>"510"</f>
        <v>510</v>
      </c>
      <c r="K1683" t="s">
        <v>18</v>
      </c>
      <c r="L1683" t="str">
        <f>"20030826"</f>
        <v>20030826</v>
      </c>
      <c r="M1683" t="str">
        <f>"19831027"</f>
        <v>19831027</v>
      </c>
    </row>
    <row r="1684" spans="1:13" x14ac:dyDescent="0.25">
      <c r="A1684" t="str">
        <f>"00121503"</f>
        <v>00121503</v>
      </c>
      <c r="B1684" t="s">
        <v>3725</v>
      </c>
      <c r="C1684" t="s">
        <v>159</v>
      </c>
      <c r="D1684" t="s">
        <v>16</v>
      </c>
      <c r="E1684" t="s">
        <v>16</v>
      </c>
      <c r="F1684" t="s">
        <v>17</v>
      </c>
      <c r="G1684" t="str">
        <f>"02"</f>
        <v>02</v>
      </c>
      <c r="H1684" t="str">
        <f>"7  "</f>
        <v xml:space="preserve">7  </v>
      </c>
      <c r="I1684" t="str">
        <f>"2001/08/30"</f>
        <v>2001/08/30</v>
      </c>
      <c r="J1684" t="str">
        <f>"503"</f>
        <v>503</v>
      </c>
      <c r="K1684" t="s">
        <v>18</v>
      </c>
      <c r="L1684" t="str">
        <f>"20250616"</f>
        <v>20250616</v>
      </c>
      <c r="M1684" t="str">
        <f>"19800731"</f>
        <v>19800731</v>
      </c>
    </row>
    <row r="1685" spans="1:13" x14ac:dyDescent="0.25">
      <c r="A1685" t="str">
        <f>"00398441"</f>
        <v>00398441</v>
      </c>
      <c r="B1685" t="s">
        <v>3725</v>
      </c>
      <c r="C1685" t="s">
        <v>2324</v>
      </c>
      <c r="D1685" t="s">
        <v>15</v>
      </c>
      <c r="E1685" t="s">
        <v>26</v>
      </c>
      <c r="F1685" t="s">
        <v>17</v>
      </c>
      <c r="G1685" t="str">
        <f>"02"</f>
        <v>02</v>
      </c>
      <c r="H1685" t="str">
        <f>"3  "</f>
        <v xml:space="preserve">3  </v>
      </c>
      <c r="I1685" t="str">
        <f>"2014/11/07"</f>
        <v>2014/11/07</v>
      </c>
      <c r="J1685" t="str">
        <f>"510"</f>
        <v>510</v>
      </c>
      <c r="K1685" t="str">
        <f>"20210731"</f>
        <v>20210731</v>
      </c>
      <c r="L1685" t="s">
        <v>18</v>
      </c>
      <c r="M1685" t="str">
        <f>"20120627"</f>
        <v>20120627</v>
      </c>
    </row>
    <row r="1686" spans="1:13" x14ac:dyDescent="0.25">
      <c r="A1686" t="str">
        <f>"00416831"</f>
        <v>00416831</v>
      </c>
      <c r="B1686" t="s">
        <v>3725</v>
      </c>
      <c r="C1686" t="s">
        <v>3728</v>
      </c>
      <c r="D1686" t="s">
        <v>456</v>
      </c>
      <c r="E1686" t="s">
        <v>26</v>
      </c>
      <c r="F1686" t="s">
        <v>17</v>
      </c>
      <c r="G1686" t="str">
        <f>"02"</f>
        <v>02</v>
      </c>
      <c r="H1686" t="str">
        <f>"3  "</f>
        <v xml:space="preserve">3  </v>
      </c>
      <c r="I1686" t="str">
        <f>"2015/01/09"</f>
        <v>2015/01/09</v>
      </c>
      <c r="J1686" t="str">
        <f>"510"</f>
        <v>510</v>
      </c>
      <c r="K1686" t="str">
        <f>"20750515"</f>
        <v>20750515</v>
      </c>
      <c r="L1686" t="s">
        <v>18</v>
      </c>
      <c r="M1686" t="str">
        <f>"20130211"</f>
        <v>20130211</v>
      </c>
    </row>
    <row r="1687" spans="1:13" x14ac:dyDescent="0.25">
      <c r="A1687" t="str">
        <f>"00347315"</f>
        <v>00347315</v>
      </c>
      <c r="B1687" t="s">
        <v>3743</v>
      </c>
      <c r="C1687" t="s">
        <v>55</v>
      </c>
      <c r="D1687" t="s">
        <v>61</v>
      </c>
      <c r="E1687" t="s">
        <v>16</v>
      </c>
      <c r="F1687" t="s">
        <v>17</v>
      </c>
      <c r="G1687" t="str">
        <f>"02"</f>
        <v>02</v>
      </c>
      <c r="H1687" t="str">
        <f>"3  "</f>
        <v xml:space="preserve">3  </v>
      </c>
      <c r="I1687" t="str">
        <f>"2017/06/29"</f>
        <v>2017/06/29</v>
      </c>
      <c r="J1687" t="str">
        <f>"510"</f>
        <v>510</v>
      </c>
      <c r="K1687" t="str">
        <f>"20290701"</f>
        <v>20290701</v>
      </c>
      <c r="L1687" t="s">
        <v>18</v>
      </c>
      <c r="M1687" t="str">
        <f>"20120620"</f>
        <v>20120620</v>
      </c>
    </row>
    <row r="1688" spans="1:13" x14ac:dyDescent="0.25">
      <c r="A1688" t="str">
        <f>"00490192"</f>
        <v>00490192</v>
      </c>
      <c r="B1688" t="s">
        <v>3746</v>
      </c>
      <c r="C1688" t="s">
        <v>55</v>
      </c>
      <c r="D1688" t="s">
        <v>51</v>
      </c>
      <c r="E1688" t="s">
        <v>16</v>
      </c>
      <c r="F1688" t="s">
        <v>17</v>
      </c>
      <c r="G1688" t="str">
        <f>"02"</f>
        <v>02</v>
      </c>
      <c r="H1688" t="str">
        <f>"1  "</f>
        <v xml:space="preserve">1  </v>
      </c>
      <c r="I1688" t="str">
        <f>"2020/09/25"</f>
        <v>2020/09/25</v>
      </c>
      <c r="J1688" t="str">
        <f>"110"</f>
        <v>110</v>
      </c>
      <c r="K1688" t="str">
        <f>"20210819"</f>
        <v>20210819</v>
      </c>
      <c r="L1688" t="s">
        <v>18</v>
      </c>
      <c r="M1688" t="str">
        <f>"20200925"</f>
        <v>20200925</v>
      </c>
    </row>
    <row r="1689" spans="1:13" x14ac:dyDescent="0.25">
      <c r="A1689" t="str">
        <f>"00396856"</f>
        <v>00396856</v>
      </c>
      <c r="B1689" t="s">
        <v>3749</v>
      </c>
      <c r="C1689" t="s">
        <v>124</v>
      </c>
      <c r="D1689" t="s">
        <v>25</v>
      </c>
      <c r="E1689" t="s">
        <v>26</v>
      </c>
      <c r="F1689" t="s">
        <v>17</v>
      </c>
      <c r="G1689" t="str">
        <f>"02"</f>
        <v>02</v>
      </c>
      <c r="H1689" t="str">
        <f>"3  "</f>
        <v xml:space="preserve">3  </v>
      </c>
      <c r="I1689" t="str">
        <f>"2002/06/06"</f>
        <v>2002/06/06</v>
      </c>
      <c r="J1689" t="str">
        <f>"502"</f>
        <v>502</v>
      </c>
      <c r="K1689" t="str">
        <f>"20210115"</f>
        <v>20210115</v>
      </c>
      <c r="L1689" t="s">
        <v>18</v>
      </c>
      <c r="M1689" t="str">
        <f>"19980910"</f>
        <v>19980910</v>
      </c>
    </row>
    <row r="1690" spans="1:13" x14ac:dyDescent="0.25">
      <c r="A1690" t="str">
        <f>"00509639"</f>
        <v>00509639</v>
      </c>
      <c r="B1690" t="s">
        <v>3752</v>
      </c>
      <c r="C1690" t="s">
        <v>136</v>
      </c>
      <c r="D1690" t="s">
        <v>16</v>
      </c>
      <c r="E1690" t="s">
        <v>16</v>
      </c>
      <c r="F1690" t="s">
        <v>17</v>
      </c>
      <c r="G1690" t="str">
        <f>"02"</f>
        <v>02</v>
      </c>
      <c r="H1690" t="str">
        <f>"3  "</f>
        <v xml:space="preserve">3  </v>
      </c>
      <c r="I1690" t="str">
        <f>"2011/10/25"</f>
        <v>2011/10/25</v>
      </c>
      <c r="J1690" t="str">
        <f>"503"</f>
        <v>503</v>
      </c>
      <c r="K1690" t="str">
        <f>"20251212"</f>
        <v>20251212</v>
      </c>
      <c r="L1690" t="s">
        <v>18</v>
      </c>
      <c r="M1690" t="str">
        <f>"20030708"</f>
        <v>20030708</v>
      </c>
    </row>
    <row r="1691" spans="1:13" x14ac:dyDescent="0.25">
      <c r="A1691" t="str">
        <f>"00411109"</f>
        <v>00411109</v>
      </c>
      <c r="B1691" t="s">
        <v>3756</v>
      </c>
      <c r="C1691" t="s">
        <v>218</v>
      </c>
      <c r="D1691" t="s">
        <v>61</v>
      </c>
      <c r="E1691" t="s">
        <v>16</v>
      </c>
      <c r="F1691" t="s">
        <v>17</v>
      </c>
      <c r="G1691" t="str">
        <f>"02"</f>
        <v>02</v>
      </c>
      <c r="H1691" t="str">
        <f>"3  "</f>
        <v xml:space="preserve">3  </v>
      </c>
      <c r="I1691" t="str">
        <f>"2013/09/06"</f>
        <v>2013/09/06</v>
      </c>
      <c r="J1691" t="str">
        <f>"510"</f>
        <v>510</v>
      </c>
      <c r="K1691" t="str">
        <f>"20210924"</f>
        <v>20210924</v>
      </c>
      <c r="L1691" t="s">
        <v>18</v>
      </c>
      <c r="M1691" t="str">
        <f>"20120126"</f>
        <v>20120126</v>
      </c>
    </row>
    <row r="1692" spans="1:13" x14ac:dyDescent="0.25">
      <c r="A1692" t="str">
        <f>"00414287"</f>
        <v>00414287</v>
      </c>
      <c r="B1692" t="s">
        <v>3758</v>
      </c>
      <c r="C1692" t="s">
        <v>3759</v>
      </c>
      <c r="D1692" t="s">
        <v>31</v>
      </c>
      <c r="E1692" t="s">
        <v>26</v>
      </c>
      <c r="F1692" t="s">
        <v>17</v>
      </c>
      <c r="G1692" t="str">
        <f>"02"</f>
        <v>02</v>
      </c>
      <c r="H1692" t="str">
        <f>"3  "</f>
        <v xml:space="preserve">3  </v>
      </c>
      <c r="I1692" t="str">
        <f>"2019/09/27"</f>
        <v>2019/09/27</v>
      </c>
      <c r="J1692" t="str">
        <f>"510"</f>
        <v>510</v>
      </c>
      <c r="K1692" t="str">
        <f>"20470705"</f>
        <v>20470705</v>
      </c>
      <c r="L1692" t="s">
        <v>18</v>
      </c>
      <c r="M1692" t="str">
        <f>"20171005"</f>
        <v>20171005</v>
      </c>
    </row>
    <row r="1693" spans="1:13" x14ac:dyDescent="0.25">
      <c r="A1693" t="str">
        <f>"00598551"</f>
        <v>00598551</v>
      </c>
      <c r="B1693" t="s">
        <v>3760</v>
      </c>
      <c r="C1693" t="s">
        <v>680</v>
      </c>
      <c r="D1693" t="s">
        <v>25</v>
      </c>
      <c r="E1693" t="s">
        <v>16</v>
      </c>
      <c r="F1693" t="s">
        <v>17</v>
      </c>
      <c r="G1693" t="str">
        <f>"02"</f>
        <v>02</v>
      </c>
      <c r="H1693" t="str">
        <f>"3  "</f>
        <v xml:space="preserve">3  </v>
      </c>
      <c r="I1693" t="str">
        <f>"2019/06/28"</f>
        <v>2019/06/28</v>
      </c>
      <c r="J1693" t="str">
        <f>"510"</f>
        <v>510</v>
      </c>
      <c r="K1693" t="str">
        <f>"20270922"</f>
        <v>20270922</v>
      </c>
      <c r="L1693" t="s">
        <v>18</v>
      </c>
      <c r="M1693" t="str">
        <f>"20181028"</f>
        <v>20181028</v>
      </c>
    </row>
    <row r="1694" spans="1:13" x14ac:dyDescent="0.25">
      <c r="A1694" t="str">
        <f>"00263737"</f>
        <v>00263737</v>
      </c>
      <c r="B1694" t="s">
        <v>3763</v>
      </c>
      <c r="C1694" t="s">
        <v>188</v>
      </c>
      <c r="D1694" t="s">
        <v>25</v>
      </c>
      <c r="E1694" t="s">
        <v>16</v>
      </c>
      <c r="F1694" t="s">
        <v>17</v>
      </c>
      <c r="G1694" t="str">
        <f>"02"</f>
        <v>02</v>
      </c>
      <c r="H1694" t="str">
        <f>"3  "</f>
        <v xml:space="preserve">3  </v>
      </c>
      <c r="I1694" t="str">
        <f>"2019/03/15"</f>
        <v>2019/03/15</v>
      </c>
      <c r="J1694" t="str">
        <f>"503"</f>
        <v>503</v>
      </c>
      <c r="K1694" t="str">
        <f>"20211127"</f>
        <v>20211127</v>
      </c>
      <c r="L1694" t="s">
        <v>18</v>
      </c>
      <c r="M1694" t="str">
        <f>"20131221"</f>
        <v>20131221</v>
      </c>
    </row>
    <row r="1695" spans="1:13" x14ac:dyDescent="0.25">
      <c r="A1695" t="str">
        <f>"00411196"</f>
        <v>00411196</v>
      </c>
      <c r="B1695" t="s">
        <v>3764</v>
      </c>
      <c r="C1695" t="s">
        <v>346</v>
      </c>
      <c r="D1695" t="s">
        <v>182</v>
      </c>
      <c r="E1695" t="s">
        <v>16</v>
      </c>
      <c r="F1695" t="s">
        <v>17</v>
      </c>
      <c r="G1695" t="str">
        <f>"02"</f>
        <v>02</v>
      </c>
      <c r="H1695" t="str">
        <f>"3  "</f>
        <v xml:space="preserve">3  </v>
      </c>
      <c r="I1695" t="str">
        <f>"2020/07/21"</f>
        <v>2020/07/21</v>
      </c>
      <c r="J1695" t="str">
        <f>"533"</f>
        <v>533</v>
      </c>
      <c r="K1695" t="str">
        <f>"20290930"</f>
        <v>20290930</v>
      </c>
      <c r="L1695" t="s">
        <v>18</v>
      </c>
      <c r="M1695" t="str">
        <f>"20140223"</f>
        <v>20140223</v>
      </c>
    </row>
    <row r="1696" spans="1:13" x14ac:dyDescent="0.25">
      <c r="A1696" t="str">
        <f>"00142967"</f>
        <v>00142967</v>
      </c>
      <c r="B1696" t="s">
        <v>3769</v>
      </c>
      <c r="C1696" t="s">
        <v>327</v>
      </c>
      <c r="D1696" t="s">
        <v>40</v>
      </c>
      <c r="E1696" t="s">
        <v>16</v>
      </c>
      <c r="F1696" t="s">
        <v>17</v>
      </c>
      <c r="G1696" t="str">
        <f>"02"</f>
        <v>02</v>
      </c>
      <c r="H1696" t="str">
        <f>"3  "</f>
        <v xml:space="preserve">3  </v>
      </c>
      <c r="I1696" t="str">
        <f>"2020/08/05"</f>
        <v>2020/08/05</v>
      </c>
      <c r="J1696" t="str">
        <f>"533"</f>
        <v>533</v>
      </c>
      <c r="K1696" t="str">
        <f>"20430521"</f>
        <v>20430521</v>
      </c>
      <c r="L1696" t="s">
        <v>18</v>
      </c>
      <c r="M1696" t="str">
        <f>"20120112"</f>
        <v>20120112</v>
      </c>
    </row>
    <row r="1697" spans="1:13" x14ac:dyDescent="0.25">
      <c r="A1697" t="str">
        <f>"00355375"</f>
        <v>00355375</v>
      </c>
      <c r="B1697" t="s">
        <v>3774</v>
      </c>
      <c r="C1697" t="s">
        <v>72</v>
      </c>
      <c r="D1697" t="s">
        <v>53</v>
      </c>
      <c r="E1697" t="s">
        <v>26</v>
      </c>
      <c r="F1697" t="s">
        <v>17</v>
      </c>
      <c r="G1697" t="str">
        <f>"02"</f>
        <v>02</v>
      </c>
      <c r="H1697" t="str">
        <f>"3  "</f>
        <v xml:space="preserve">3  </v>
      </c>
      <c r="I1697" t="str">
        <f>"2016/03/01"</f>
        <v>2016/03/01</v>
      </c>
      <c r="J1697" t="str">
        <f>"110"</f>
        <v>110</v>
      </c>
      <c r="K1697" t="str">
        <f>"20210506"</f>
        <v>20210506</v>
      </c>
      <c r="L1697" t="s">
        <v>18</v>
      </c>
      <c r="M1697" t="str">
        <f>"20160301"</f>
        <v>20160301</v>
      </c>
    </row>
    <row r="1698" spans="1:13" x14ac:dyDescent="0.25">
      <c r="A1698" t="str">
        <f>"00860109"</f>
        <v>00860109</v>
      </c>
      <c r="B1698" t="s">
        <v>3778</v>
      </c>
      <c r="C1698" t="s">
        <v>122</v>
      </c>
      <c r="D1698" t="s">
        <v>25</v>
      </c>
      <c r="E1698" t="s">
        <v>16</v>
      </c>
      <c r="F1698" t="s">
        <v>17</v>
      </c>
      <c r="G1698" t="str">
        <f>"02"</f>
        <v>02</v>
      </c>
      <c r="H1698" t="str">
        <f>"3  "</f>
        <v xml:space="preserve">3  </v>
      </c>
      <c r="I1698" t="str">
        <f>"2018/08/28"</f>
        <v>2018/08/28</v>
      </c>
      <c r="J1698" t="str">
        <f>"503"</f>
        <v>503</v>
      </c>
      <c r="K1698" t="str">
        <f>"20640527"</f>
        <v>20640527</v>
      </c>
      <c r="L1698" t="s">
        <v>18</v>
      </c>
      <c r="M1698" t="str">
        <f>"20170719"</f>
        <v>20170719</v>
      </c>
    </row>
    <row r="1699" spans="1:13" x14ac:dyDescent="0.25">
      <c r="A1699" t="str">
        <f>"00193909"</f>
        <v>00193909</v>
      </c>
      <c r="B1699" t="s">
        <v>3781</v>
      </c>
      <c r="C1699" t="s">
        <v>96</v>
      </c>
      <c r="D1699" t="s">
        <v>16</v>
      </c>
      <c r="E1699" t="s">
        <v>16</v>
      </c>
      <c r="F1699" t="s">
        <v>17</v>
      </c>
      <c r="G1699" t="str">
        <f>"02"</f>
        <v>02</v>
      </c>
      <c r="H1699" t="str">
        <f>"7  "</f>
        <v xml:space="preserve">7  </v>
      </c>
      <c r="I1699" t="str">
        <f>"1999/12/06"</f>
        <v>1999/12/06</v>
      </c>
      <c r="J1699" t="str">
        <f>"114"</f>
        <v>114</v>
      </c>
      <c r="K1699" t="s">
        <v>18</v>
      </c>
      <c r="L1699" t="s">
        <v>18</v>
      </c>
      <c r="M1699" t="str">
        <f>"19980922"</f>
        <v>19980922</v>
      </c>
    </row>
    <row r="1700" spans="1:13" x14ac:dyDescent="0.25">
      <c r="A1700" t="str">
        <f>"00152158"</f>
        <v>00152158</v>
      </c>
      <c r="B1700" t="s">
        <v>3782</v>
      </c>
      <c r="C1700" t="s">
        <v>3783</v>
      </c>
      <c r="D1700" t="s">
        <v>25</v>
      </c>
      <c r="E1700" t="s">
        <v>16</v>
      </c>
      <c r="F1700" t="s">
        <v>17</v>
      </c>
      <c r="G1700" t="str">
        <f>"02"</f>
        <v>02</v>
      </c>
      <c r="H1700" t="str">
        <f>"3  "</f>
        <v xml:space="preserve">3  </v>
      </c>
      <c r="I1700" t="str">
        <f>"2019/04/01"</f>
        <v>2019/04/01</v>
      </c>
      <c r="J1700" t="str">
        <f>"510"</f>
        <v>510</v>
      </c>
      <c r="K1700" t="str">
        <f>"20350831"</f>
        <v>20350831</v>
      </c>
      <c r="L1700" t="s">
        <v>18</v>
      </c>
      <c r="M1700" t="str">
        <f>"20170810"</f>
        <v>20170810</v>
      </c>
    </row>
    <row r="1701" spans="1:13" x14ac:dyDescent="0.25">
      <c r="A1701" t="str">
        <f>"00809043"</f>
        <v>00809043</v>
      </c>
      <c r="B1701" t="s">
        <v>3784</v>
      </c>
      <c r="C1701" t="s">
        <v>74</v>
      </c>
      <c r="D1701" t="s">
        <v>25</v>
      </c>
      <c r="E1701" t="s">
        <v>16</v>
      </c>
      <c r="F1701" t="s">
        <v>17</v>
      </c>
      <c r="G1701" t="str">
        <f>"02"</f>
        <v>02</v>
      </c>
      <c r="H1701" t="str">
        <f>"3  "</f>
        <v xml:space="preserve">3  </v>
      </c>
      <c r="I1701" t="str">
        <f>"2018/07/18"</f>
        <v>2018/07/18</v>
      </c>
      <c r="J1701" t="str">
        <f>"503"</f>
        <v>503</v>
      </c>
      <c r="K1701" t="str">
        <f>"20300803"</f>
        <v>20300803</v>
      </c>
      <c r="L1701" t="s">
        <v>18</v>
      </c>
      <c r="M1701" t="str">
        <f>"20170623"</f>
        <v>20170623</v>
      </c>
    </row>
    <row r="1702" spans="1:13" x14ac:dyDescent="0.25">
      <c r="A1702" t="str">
        <f>"00339047"</f>
        <v>00339047</v>
      </c>
      <c r="B1702" t="s">
        <v>3787</v>
      </c>
      <c r="C1702" t="s">
        <v>327</v>
      </c>
      <c r="D1702" t="s">
        <v>31</v>
      </c>
      <c r="E1702" t="s">
        <v>16</v>
      </c>
      <c r="F1702" t="s">
        <v>17</v>
      </c>
      <c r="G1702" t="str">
        <f>"02"</f>
        <v>02</v>
      </c>
      <c r="H1702" t="str">
        <f>"3  "</f>
        <v xml:space="preserve">3  </v>
      </c>
      <c r="I1702" t="str">
        <f>"2003/07/18"</f>
        <v>2003/07/18</v>
      </c>
      <c r="J1702" t="str">
        <f>"503"</f>
        <v>503</v>
      </c>
      <c r="K1702" t="str">
        <f>"20251219"</f>
        <v>20251219</v>
      </c>
      <c r="L1702" t="s">
        <v>18</v>
      </c>
      <c r="M1702" t="str">
        <f>"20000215"</f>
        <v>20000215</v>
      </c>
    </row>
    <row r="1703" spans="1:13" x14ac:dyDescent="0.25">
      <c r="A1703" t="str">
        <f>"00266188"</f>
        <v>00266188</v>
      </c>
      <c r="B1703" t="s">
        <v>3788</v>
      </c>
      <c r="C1703" t="s">
        <v>14</v>
      </c>
      <c r="D1703" t="s">
        <v>61</v>
      </c>
      <c r="E1703" t="s">
        <v>26</v>
      </c>
      <c r="F1703" t="s">
        <v>17</v>
      </c>
      <c r="G1703" t="str">
        <f>"02"</f>
        <v>02</v>
      </c>
      <c r="H1703" t="str">
        <f>"3  "</f>
        <v xml:space="preserve">3  </v>
      </c>
      <c r="I1703" t="str">
        <f>"2001/02/05"</f>
        <v>2001/02/05</v>
      </c>
      <c r="J1703" t="str">
        <f>"502"</f>
        <v>502</v>
      </c>
      <c r="K1703" t="str">
        <f>"20220710"</f>
        <v>20220710</v>
      </c>
      <c r="L1703" t="s">
        <v>18</v>
      </c>
      <c r="M1703" t="str">
        <f>"19980914"</f>
        <v>19980914</v>
      </c>
    </row>
    <row r="1704" spans="1:13" x14ac:dyDescent="0.25">
      <c r="A1704" t="str">
        <f>"00446725"</f>
        <v>00446725</v>
      </c>
      <c r="B1704" t="s">
        <v>3791</v>
      </c>
      <c r="C1704" t="s">
        <v>3792</v>
      </c>
      <c r="D1704" t="s">
        <v>121</v>
      </c>
      <c r="E1704" t="s">
        <v>26</v>
      </c>
      <c r="F1704" t="s">
        <v>17</v>
      </c>
      <c r="G1704" t="str">
        <f>"02"</f>
        <v>02</v>
      </c>
      <c r="H1704" t="str">
        <f>"3  "</f>
        <v xml:space="preserve">3  </v>
      </c>
      <c r="I1704" t="str">
        <f>"2019/02/11"</f>
        <v>2019/02/11</v>
      </c>
      <c r="J1704" t="str">
        <f>"510"</f>
        <v>510</v>
      </c>
      <c r="K1704" t="str">
        <f>"20280607"</f>
        <v>20280607</v>
      </c>
      <c r="L1704" t="s">
        <v>18</v>
      </c>
      <c r="M1704" t="str">
        <f>"20170916"</f>
        <v>20170916</v>
      </c>
    </row>
    <row r="1705" spans="1:13" x14ac:dyDescent="0.25">
      <c r="A1705" t="str">
        <f>"00383361"</f>
        <v>00383361</v>
      </c>
      <c r="B1705" t="s">
        <v>3793</v>
      </c>
      <c r="C1705" t="s">
        <v>55</v>
      </c>
      <c r="D1705" t="s">
        <v>15</v>
      </c>
      <c r="E1705" t="s">
        <v>16</v>
      </c>
      <c r="F1705" t="s">
        <v>17</v>
      </c>
      <c r="G1705" t="str">
        <f>"02"</f>
        <v>02</v>
      </c>
      <c r="H1705" t="str">
        <f>"3  "</f>
        <v xml:space="preserve">3  </v>
      </c>
      <c r="I1705" t="str">
        <f>"2009/04/30"</f>
        <v>2009/04/30</v>
      </c>
      <c r="J1705" t="str">
        <f>"510"</f>
        <v>510</v>
      </c>
      <c r="K1705" t="str">
        <f>"20221229"</f>
        <v>20221229</v>
      </c>
      <c r="L1705" t="s">
        <v>18</v>
      </c>
      <c r="M1705" t="str">
        <f>"20080413"</f>
        <v>20080413</v>
      </c>
    </row>
    <row r="1706" spans="1:13" x14ac:dyDescent="0.25">
      <c r="A1706" t="str">
        <f>"00156967"</f>
        <v>00156967</v>
      </c>
      <c r="B1706" t="s">
        <v>3794</v>
      </c>
      <c r="C1706" t="s">
        <v>437</v>
      </c>
      <c r="D1706" t="s">
        <v>37</v>
      </c>
      <c r="E1706" t="s">
        <v>26</v>
      </c>
      <c r="F1706" t="s">
        <v>17</v>
      </c>
      <c r="G1706" t="str">
        <f>"02"</f>
        <v>02</v>
      </c>
      <c r="H1706" t="str">
        <f>"7  "</f>
        <v xml:space="preserve">7  </v>
      </c>
      <c r="I1706" t="str">
        <f>"2011/05/11"</f>
        <v>2011/05/11</v>
      </c>
      <c r="J1706" t="str">
        <f>"510"</f>
        <v>510</v>
      </c>
      <c r="K1706" t="s">
        <v>18</v>
      </c>
      <c r="L1706" t="s">
        <v>18</v>
      </c>
      <c r="M1706" t="str">
        <f>"20100513"</f>
        <v>20100513</v>
      </c>
    </row>
    <row r="1707" spans="1:13" x14ac:dyDescent="0.25">
      <c r="A1707" t="str">
        <f>"00318389"</f>
        <v>00318389</v>
      </c>
      <c r="B1707" t="s">
        <v>3794</v>
      </c>
      <c r="C1707" t="s">
        <v>3797</v>
      </c>
      <c r="D1707" t="s">
        <v>25</v>
      </c>
      <c r="E1707" t="s">
        <v>26</v>
      </c>
      <c r="F1707" t="s">
        <v>17</v>
      </c>
      <c r="G1707" t="str">
        <f>"02"</f>
        <v>02</v>
      </c>
      <c r="H1707" t="str">
        <f>"3  "</f>
        <v xml:space="preserve">3  </v>
      </c>
      <c r="I1707" t="str">
        <f>"2003/05/22"</f>
        <v>2003/05/22</v>
      </c>
      <c r="J1707" t="str">
        <f>"510"</f>
        <v>510</v>
      </c>
      <c r="K1707" t="str">
        <f>"20510701"</f>
        <v>20510701</v>
      </c>
      <c r="L1707" t="s">
        <v>18</v>
      </c>
      <c r="M1707" t="str">
        <f>"20020313"</f>
        <v>20020313</v>
      </c>
    </row>
    <row r="1708" spans="1:13" x14ac:dyDescent="0.25">
      <c r="A1708" t="str">
        <f>"00354596"</f>
        <v>00354596</v>
      </c>
      <c r="B1708" t="s">
        <v>3794</v>
      </c>
      <c r="C1708" t="s">
        <v>599</v>
      </c>
      <c r="D1708" t="s">
        <v>15</v>
      </c>
      <c r="E1708" t="s">
        <v>26</v>
      </c>
      <c r="F1708" t="s">
        <v>17</v>
      </c>
      <c r="G1708" t="str">
        <f>"02"</f>
        <v>02</v>
      </c>
      <c r="H1708" t="str">
        <f>"3  "</f>
        <v xml:space="preserve">3  </v>
      </c>
      <c r="I1708" t="str">
        <f>"2007/05/11"</f>
        <v>2007/05/11</v>
      </c>
      <c r="J1708" t="str">
        <f>"510"</f>
        <v>510</v>
      </c>
      <c r="K1708" t="str">
        <f>"20230827"</f>
        <v>20230827</v>
      </c>
      <c r="L1708" t="s">
        <v>18</v>
      </c>
      <c r="M1708" t="str">
        <f>"20050915"</f>
        <v>20050915</v>
      </c>
    </row>
    <row r="1709" spans="1:13" x14ac:dyDescent="0.25">
      <c r="A1709" t="str">
        <f>"00299079"</f>
        <v>00299079</v>
      </c>
      <c r="B1709" t="s">
        <v>3794</v>
      </c>
      <c r="C1709" t="s">
        <v>176</v>
      </c>
      <c r="D1709" t="s">
        <v>45</v>
      </c>
      <c r="E1709" t="s">
        <v>26</v>
      </c>
      <c r="F1709" t="s">
        <v>17</v>
      </c>
      <c r="G1709" t="str">
        <f>"02"</f>
        <v>02</v>
      </c>
      <c r="H1709" t="str">
        <f>"7  "</f>
        <v xml:space="preserve">7  </v>
      </c>
      <c r="I1709" t="str">
        <f>"2006/01/10"</f>
        <v>2006/01/10</v>
      </c>
      <c r="J1709" t="str">
        <f>"510"</f>
        <v>510</v>
      </c>
      <c r="K1709" t="s">
        <v>18</v>
      </c>
      <c r="L1709" t="s">
        <v>18</v>
      </c>
      <c r="M1709" t="str">
        <f>"20040501"</f>
        <v>20040501</v>
      </c>
    </row>
    <row r="1710" spans="1:13" x14ac:dyDescent="0.25">
      <c r="A1710" t="str">
        <f>"00181267"</f>
        <v>00181267</v>
      </c>
      <c r="B1710" t="s">
        <v>3794</v>
      </c>
      <c r="C1710" t="s">
        <v>327</v>
      </c>
      <c r="D1710" t="s">
        <v>25</v>
      </c>
      <c r="E1710" t="s">
        <v>26</v>
      </c>
      <c r="F1710" t="s">
        <v>17</v>
      </c>
      <c r="G1710" t="str">
        <f>"02"</f>
        <v>02</v>
      </c>
      <c r="H1710" t="str">
        <f>"7  "</f>
        <v xml:space="preserve">7  </v>
      </c>
      <c r="I1710" t="str">
        <f>"2000/07/20"</f>
        <v>2000/07/20</v>
      </c>
      <c r="J1710" t="str">
        <f>"114"</f>
        <v>114</v>
      </c>
      <c r="K1710" t="s">
        <v>18</v>
      </c>
      <c r="L1710" t="s">
        <v>18</v>
      </c>
      <c r="M1710" t="str">
        <f>"19981113"</f>
        <v>19981113</v>
      </c>
    </row>
    <row r="1711" spans="1:13" x14ac:dyDescent="0.25">
      <c r="A1711" t="str">
        <f>"00673775"</f>
        <v>00673775</v>
      </c>
      <c r="B1711" t="s">
        <v>3794</v>
      </c>
      <c r="C1711" t="s">
        <v>74</v>
      </c>
      <c r="D1711" t="s">
        <v>61</v>
      </c>
      <c r="E1711" t="s">
        <v>26</v>
      </c>
      <c r="F1711" t="s">
        <v>17</v>
      </c>
      <c r="G1711" t="str">
        <f>"02"</f>
        <v>02</v>
      </c>
      <c r="H1711" t="str">
        <f>"3  "</f>
        <v xml:space="preserve">3  </v>
      </c>
      <c r="I1711" t="str">
        <f>"2015/10/15"</f>
        <v>2015/10/15</v>
      </c>
      <c r="J1711" t="str">
        <f>"110"</f>
        <v>110</v>
      </c>
      <c r="K1711" t="str">
        <f>"20201229"</f>
        <v>20201229</v>
      </c>
      <c r="L1711" t="s">
        <v>18</v>
      </c>
      <c r="M1711" t="str">
        <f>"20150909"</f>
        <v>20150909</v>
      </c>
    </row>
    <row r="1712" spans="1:13" x14ac:dyDescent="0.25">
      <c r="A1712" t="str">
        <f>"00726594"</f>
        <v>00726594</v>
      </c>
      <c r="B1712" t="s">
        <v>3794</v>
      </c>
      <c r="C1712" t="s">
        <v>3799</v>
      </c>
      <c r="D1712" t="s">
        <v>25</v>
      </c>
      <c r="E1712" t="s">
        <v>26</v>
      </c>
      <c r="F1712" t="s">
        <v>17</v>
      </c>
      <c r="G1712" t="str">
        <f>"02"</f>
        <v>02</v>
      </c>
      <c r="H1712" t="str">
        <f>"3  "</f>
        <v xml:space="preserve">3  </v>
      </c>
      <c r="I1712" t="str">
        <f>"2019/03/22"</f>
        <v>2019/03/22</v>
      </c>
      <c r="J1712" t="str">
        <f>"510"</f>
        <v>510</v>
      </c>
      <c r="K1712" t="str">
        <f>"20260701"</f>
        <v>20260701</v>
      </c>
      <c r="L1712" t="s">
        <v>18</v>
      </c>
      <c r="M1712" t="str">
        <f>"20170802"</f>
        <v>20170802</v>
      </c>
    </row>
    <row r="1713" spans="1:13" x14ac:dyDescent="0.25">
      <c r="A1713" t="str">
        <f>"00096638"</f>
        <v>00096638</v>
      </c>
      <c r="B1713" t="s">
        <v>3794</v>
      </c>
      <c r="C1713" t="s">
        <v>60</v>
      </c>
      <c r="D1713" t="s">
        <v>40</v>
      </c>
      <c r="E1713" t="s">
        <v>26</v>
      </c>
      <c r="F1713" t="s">
        <v>17</v>
      </c>
      <c r="G1713" t="str">
        <f>"02"</f>
        <v>02</v>
      </c>
      <c r="H1713" t="str">
        <f>"7  "</f>
        <v xml:space="preserve">7  </v>
      </c>
      <c r="I1713" t="str">
        <f>"1977/12/07"</f>
        <v>1977/12/07</v>
      </c>
      <c r="J1713" t="str">
        <f>"310"</f>
        <v>310</v>
      </c>
      <c r="K1713" t="s">
        <v>18</v>
      </c>
      <c r="L1713" t="str">
        <f>"20000128"</f>
        <v>20000128</v>
      </c>
      <c r="M1713" t="str">
        <f>"19771115"</f>
        <v>19771115</v>
      </c>
    </row>
    <row r="1714" spans="1:13" x14ac:dyDescent="0.25">
      <c r="A1714" t="str">
        <f>"00859962"</f>
        <v>00859962</v>
      </c>
      <c r="B1714" t="s">
        <v>3800</v>
      </c>
      <c r="C1714" t="s">
        <v>120</v>
      </c>
      <c r="D1714" t="s">
        <v>25</v>
      </c>
      <c r="E1714" t="s">
        <v>26</v>
      </c>
      <c r="F1714" t="s">
        <v>17</v>
      </c>
      <c r="G1714" t="str">
        <f>"02"</f>
        <v>02</v>
      </c>
      <c r="H1714" t="str">
        <f>"3  "</f>
        <v xml:space="preserve">3  </v>
      </c>
      <c r="I1714" t="str">
        <f>"2019/08/30"</f>
        <v>2019/08/30</v>
      </c>
      <c r="J1714" t="str">
        <f>"510"</f>
        <v>510</v>
      </c>
      <c r="K1714" t="str">
        <f>"20260729"</f>
        <v>20260729</v>
      </c>
      <c r="L1714" t="s">
        <v>18</v>
      </c>
      <c r="M1714" t="str">
        <f>"20170718"</f>
        <v>20170718</v>
      </c>
    </row>
    <row r="1715" spans="1:13" x14ac:dyDescent="0.25">
      <c r="A1715" t="str">
        <f>"00371555"</f>
        <v>00371555</v>
      </c>
      <c r="B1715" t="s">
        <v>3801</v>
      </c>
      <c r="C1715" t="s">
        <v>2697</v>
      </c>
      <c r="D1715" t="s">
        <v>25</v>
      </c>
      <c r="E1715" t="s">
        <v>26</v>
      </c>
      <c r="F1715" t="s">
        <v>17</v>
      </c>
      <c r="G1715" t="str">
        <f>"02"</f>
        <v>02</v>
      </c>
      <c r="H1715" t="str">
        <f>"3  "</f>
        <v xml:space="preserve">3  </v>
      </c>
      <c r="I1715" t="str">
        <f>"2011/03/10"</f>
        <v>2011/03/10</v>
      </c>
      <c r="J1715" t="str">
        <f>"510"</f>
        <v>510</v>
      </c>
      <c r="K1715" t="str">
        <f>"20240710"</f>
        <v>20240710</v>
      </c>
      <c r="L1715" t="s">
        <v>18</v>
      </c>
      <c r="M1715" t="str">
        <f>"20100723"</f>
        <v>20100723</v>
      </c>
    </row>
    <row r="1716" spans="1:13" x14ac:dyDescent="0.25">
      <c r="A1716" t="str">
        <f>"00158882"</f>
        <v>00158882</v>
      </c>
      <c r="B1716" t="s">
        <v>3803</v>
      </c>
      <c r="C1716" t="s">
        <v>3804</v>
      </c>
      <c r="D1716" t="s">
        <v>40</v>
      </c>
      <c r="E1716" t="s">
        <v>26</v>
      </c>
      <c r="F1716" t="s">
        <v>17</v>
      </c>
      <c r="G1716" t="str">
        <f>"02"</f>
        <v>02</v>
      </c>
      <c r="H1716" t="str">
        <f>"3  "</f>
        <v xml:space="preserve">3  </v>
      </c>
      <c r="I1716" t="str">
        <f>"2001/01/24"</f>
        <v>2001/01/24</v>
      </c>
      <c r="J1716" t="str">
        <f>"533"</f>
        <v>533</v>
      </c>
      <c r="K1716" t="str">
        <f>"20270406"</f>
        <v>20270406</v>
      </c>
      <c r="L1716" t="s">
        <v>18</v>
      </c>
      <c r="M1716" t="str">
        <f>"20170807"</f>
        <v>20170807</v>
      </c>
    </row>
    <row r="1717" spans="1:13" x14ac:dyDescent="0.25">
      <c r="A1717" t="str">
        <f>"00107897"</f>
        <v>00107897</v>
      </c>
      <c r="B1717" t="s">
        <v>3805</v>
      </c>
      <c r="C1717" t="s">
        <v>327</v>
      </c>
      <c r="D1717" t="s">
        <v>40</v>
      </c>
      <c r="E1717" t="s">
        <v>16</v>
      </c>
      <c r="F1717" t="s">
        <v>17</v>
      </c>
      <c r="G1717" t="str">
        <f>"02"</f>
        <v>02</v>
      </c>
      <c r="H1717" t="str">
        <f>"7  "</f>
        <v xml:space="preserve">7  </v>
      </c>
      <c r="I1717" t="str">
        <f>"2003/01/24"</f>
        <v>2003/01/24</v>
      </c>
      <c r="J1717" t="str">
        <f>"533"</f>
        <v>533</v>
      </c>
      <c r="K1717" t="s">
        <v>18</v>
      </c>
      <c r="L1717" t="str">
        <f>"20191220"</f>
        <v>20191220</v>
      </c>
      <c r="M1717" t="str">
        <f>"19870524"</f>
        <v>19870524</v>
      </c>
    </row>
    <row r="1718" spans="1:13" x14ac:dyDescent="0.25">
      <c r="A1718" t="str">
        <f>"00432213"</f>
        <v>00432213</v>
      </c>
      <c r="B1718" t="s">
        <v>3805</v>
      </c>
      <c r="C1718" t="s">
        <v>2119</v>
      </c>
      <c r="D1718" t="s">
        <v>182</v>
      </c>
      <c r="E1718" t="s">
        <v>16</v>
      </c>
      <c r="F1718" t="s">
        <v>17</v>
      </c>
      <c r="G1718" t="str">
        <f>"02"</f>
        <v>02</v>
      </c>
      <c r="H1718" t="str">
        <f>"3  "</f>
        <v xml:space="preserve">3  </v>
      </c>
      <c r="I1718" t="str">
        <f>"2020/08/05"</f>
        <v>2020/08/05</v>
      </c>
      <c r="J1718" t="str">
        <f>"533"</f>
        <v>533</v>
      </c>
      <c r="K1718" t="str">
        <f>"20340129"</f>
        <v>20340129</v>
      </c>
      <c r="L1718" t="s">
        <v>18</v>
      </c>
      <c r="M1718" t="str">
        <f>"20031009"</f>
        <v>20031009</v>
      </c>
    </row>
    <row r="1719" spans="1:13" x14ac:dyDescent="0.25">
      <c r="A1719" t="str">
        <f>"00565601"</f>
        <v>00565601</v>
      </c>
      <c r="B1719" t="s">
        <v>3805</v>
      </c>
      <c r="C1719" t="s">
        <v>3806</v>
      </c>
      <c r="D1719" t="s">
        <v>25</v>
      </c>
      <c r="E1719" t="s">
        <v>26</v>
      </c>
      <c r="F1719" t="s">
        <v>17</v>
      </c>
      <c r="G1719" t="str">
        <f>"02"</f>
        <v>02</v>
      </c>
      <c r="H1719" t="str">
        <f>"3  "</f>
        <v xml:space="preserve">3  </v>
      </c>
      <c r="I1719" t="str">
        <f>"2020/07/21"</f>
        <v>2020/07/21</v>
      </c>
      <c r="J1719" t="str">
        <f>"533"</f>
        <v>533</v>
      </c>
      <c r="K1719" t="str">
        <f>"20250124"</f>
        <v>20250124</v>
      </c>
      <c r="L1719" t="s">
        <v>18</v>
      </c>
      <c r="M1719" t="str">
        <f>"20060205"</f>
        <v>20060205</v>
      </c>
    </row>
    <row r="1720" spans="1:13" x14ac:dyDescent="0.25">
      <c r="A1720" t="str">
        <f>"00778499"</f>
        <v>00778499</v>
      </c>
      <c r="B1720" t="s">
        <v>3808</v>
      </c>
      <c r="C1720" t="s">
        <v>3809</v>
      </c>
      <c r="D1720" t="s">
        <v>25</v>
      </c>
      <c r="E1720" t="s">
        <v>26</v>
      </c>
      <c r="F1720" t="s">
        <v>17</v>
      </c>
      <c r="G1720" t="str">
        <f>"02"</f>
        <v>02</v>
      </c>
      <c r="H1720" t="str">
        <f>"3  "</f>
        <v xml:space="preserve">3  </v>
      </c>
      <c r="I1720" t="str">
        <f>"2016/08/16"</f>
        <v>2016/08/16</v>
      </c>
      <c r="J1720" t="str">
        <f>"510"</f>
        <v>510</v>
      </c>
      <c r="K1720" t="str">
        <f>"20450508"</f>
        <v>20450508</v>
      </c>
      <c r="L1720" t="s">
        <v>18</v>
      </c>
      <c r="M1720" t="str">
        <f>"20150511"</f>
        <v>20150511</v>
      </c>
    </row>
    <row r="1721" spans="1:13" x14ac:dyDescent="0.25">
      <c r="A1721" t="str">
        <f>"00170834"</f>
        <v>00170834</v>
      </c>
      <c r="B1721" t="s">
        <v>3815</v>
      </c>
      <c r="C1721" t="s">
        <v>893</v>
      </c>
      <c r="D1721" t="s">
        <v>97</v>
      </c>
      <c r="E1721" t="s">
        <v>26</v>
      </c>
      <c r="F1721" t="s">
        <v>17</v>
      </c>
      <c r="G1721" t="str">
        <f>"02"</f>
        <v>02</v>
      </c>
      <c r="H1721" t="str">
        <f>"1  "</f>
        <v xml:space="preserve">1  </v>
      </c>
      <c r="I1721" t="str">
        <f>"2001/09/21"</f>
        <v>2001/09/21</v>
      </c>
      <c r="J1721" t="str">
        <f>"503"</f>
        <v>503</v>
      </c>
      <c r="K1721" t="s">
        <v>18</v>
      </c>
      <c r="L1721" t="s">
        <v>18</v>
      </c>
      <c r="M1721" t="str">
        <f>"19980407"</f>
        <v>19980407</v>
      </c>
    </row>
    <row r="1722" spans="1:13" x14ac:dyDescent="0.25">
      <c r="A1722" t="str">
        <f>"00805300"</f>
        <v>00805300</v>
      </c>
      <c r="B1722" t="s">
        <v>3815</v>
      </c>
      <c r="C1722" t="s">
        <v>3817</v>
      </c>
      <c r="D1722" t="s">
        <v>21</v>
      </c>
      <c r="E1722" t="s">
        <v>26</v>
      </c>
      <c r="F1722" t="s">
        <v>17</v>
      </c>
      <c r="G1722" t="str">
        <f>"02"</f>
        <v>02</v>
      </c>
      <c r="H1722" t="str">
        <f>"3  "</f>
        <v xml:space="preserve">3  </v>
      </c>
      <c r="I1722" t="str">
        <f>"2019/07/12"</f>
        <v>2019/07/12</v>
      </c>
      <c r="J1722" t="str">
        <f>"533"</f>
        <v>533</v>
      </c>
      <c r="K1722" t="str">
        <f>"20380217"</f>
        <v>20380217</v>
      </c>
      <c r="L1722" t="s">
        <v>18</v>
      </c>
      <c r="M1722" t="str">
        <f>"20150803"</f>
        <v>20150803</v>
      </c>
    </row>
    <row r="1723" spans="1:13" x14ac:dyDescent="0.25">
      <c r="A1723" t="str">
        <f>"00141205"</f>
        <v>00141205</v>
      </c>
      <c r="B1723" t="s">
        <v>3818</v>
      </c>
      <c r="C1723" t="s">
        <v>48</v>
      </c>
      <c r="D1723" t="s">
        <v>97</v>
      </c>
      <c r="E1723" t="s">
        <v>26</v>
      </c>
      <c r="F1723" t="s">
        <v>17</v>
      </c>
      <c r="G1723" t="str">
        <f>"02"</f>
        <v>02</v>
      </c>
      <c r="H1723" t="str">
        <f>"3  "</f>
        <v xml:space="preserve">3  </v>
      </c>
      <c r="I1723" t="str">
        <f>"1990/12/12"</f>
        <v>1990/12/12</v>
      </c>
      <c r="J1723" t="str">
        <f>"510"</f>
        <v>510</v>
      </c>
      <c r="K1723" t="str">
        <f>"20250630"</f>
        <v>20250630</v>
      </c>
      <c r="L1723" t="s">
        <v>18</v>
      </c>
      <c r="M1723" t="str">
        <f>"19890905"</f>
        <v>19890905</v>
      </c>
    </row>
    <row r="1724" spans="1:13" x14ac:dyDescent="0.25">
      <c r="A1724" t="str">
        <f>"00162442"</f>
        <v>00162442</v>
      </c>
      <c r="B1724" t="s">
        <v>3818</v>
      </c>
      <c r="C1724" t="s">
        <v>248</v>
      </c>
      <c r="D1724" t="s">
        <v>51</v>
      </c>
      <c r="E1724" t="s">
        <v>26</v>
      </c>
      <c r="F1724" t="s">
        <v>17</v>
      </c>
      <c r="G1724" t="str">
        <f>"02"</f>
        <v>02</v>
      </c>
      <c r="H1724" t="str">
        <f>"7  "</f>
        <v xml:space="preserve">7  </v>
      </c>
      <c r="I1724" t="str">
        <f>"2019/10/08"</f>
        <v>2019/10/08</v>
      </c>
      <c r="J1724" t="str">
        <f>"531"</f>
        <v>531</v>
      </c>
      <c r="K1724" t="s">
        <v>18</v>
      </c>
      <c r="L1724" t="str">
        <f>"20190801"</f>
        <v>20190801</v>
      </c>
      <c r="M1724" t="str">
        <f>"19881024"</f>
        <v>19881024</v>
      </c>
    </row>
    <row r="1725" spans="1:13" x14ac:dyDescent="0.25">
      <c r="A1725" t="str">
        <f>"00388029"</f>
        <v>00388029</v>
      </c>
      <c r="B1725" t="s">
        <v>3819</v>
      </c>
      <c r="C1725" t="s">
        <v>342</v>
      </c>
      <c r="D1725" t="s">
        <v>21</v>
      </c>
      <c r="E1725" t="s">
        <v>26</v>
      </c>
      <c r="F1725" t="s">
        <v>17</v>
      </c>
      <c r="G1725" t="str">
        <f>"02"</f>
        <v>02</v>
      </c>
      <c r="H1725" t="str">
        <f>"3  "</f>
        <v xml:space="preserve">3  </v>
      </c>
      <c r="I1725" t="str">
        <f>"2005/12/02"</f>
        <v>2005/12/02</v>
      </c>
      <c r="J1725" t="str">
        <f>"510"</f>
        <v>510</v>
      </c>
      <c r="K1725" t="str">
        <f>"20220309"</f>
        <v>20220309</v>
      </c>
      <c r="L1725" t="s">
        <v>18</v>
      </c>
      <c r="M1725" t="str">
        <f>"20050118"</f>
        <v>20050118</v>
      </c>
    </row>
    <row r="1726" spans="1:13" x14ac:dyDescent="0.25">
      <c r="A1726" t="str">
        <f>"00155344"</f>
        <v>00155344</v>
      </c>
      <c r="B1726" t="s">
        <v>3820</v>
      </c>
      <c r="C1726" t="s">
        <v>14</v>
      </c>
      <c r="D1726" t="s">
        <v>61</v>
      </c>
      <c r="E1726" t="s">
        <v>26</v>
      </c>
      <c r="F1726" t="s">
        <v>17</v>
      </c>
      <c r="G1726" t="str">
        <f>"02"</f>
        <v>02</v>
      </c>
      <c r="H1726" t="str">
        <f>"7  "</f>
        <v xml:space="preserve">7  </v>
      </c>
      <c r="I1726" t="str">
        <f>"2018/10/12"</f>
        <v>2018/10/12</v>
      </c>
      <c r="J1726" t="str">
        <f>"510"</f>
        <v>510</v>
      </c>
      <c r="K1726" t="s">
        <v>18</v>
      </c>
      <c r="L1726" t="str">
        <f>"20200228"</f>
        <v>20200228</v>
      </c>
      <c r="M1726" t="str">
        <f>"20171212"</f>
        <v>20171212</v>
      </c>
    </row>
    <row r="1727" spans="1:13" x14ac:dyDescent="0.25">
      <c r="A1727" t="str">
        <f>"00553319"</f>
        <v>00553319</v>
      </c>
      <c r="B1727" t="s">
        <v>3823</v>
      </c>
      <c r="C1727" t="s">
        <v>1028</v>
      </c>
      <c r="D1727" t="s">
        <v>51</v>
      </c>
      <c r="E1727" t="s">
        <v>16</v>
      </c>
      <c r="F1727" t="s">
        <v>17</v>
      </c>
      <c r="G1727" t="str">
        <f>"02"</f>
        <v>02</v>
      </c>
      <c r="H1727" t="str">
        <f>"3  "</f>
        <v xml:space="preserve">3  </v>
      </c>
      <c r="I1727" t="str">
        <f>"2012/06/12"</f>
        <v>2012/06/12</v>
      </c>
      <c r="J1727" t="str">
        <f>"110"</f>
        <v>110</v>
      </c>
      <c r="K1727" t="str">
        <f>"20321003"</f>
        <v>20321003</v>
      </c>
      <c r="L1727" t="s">
        <v>18</v>
      </c>
      <c r="M1727" t="str">
        <f>"20120513"</f>
        <v>20120513</v>
      </c>
    </row>
    <row r="1728" spans="1:13" x14ac:dyDescent="0.25">
      <c r="A1728" t="str">
        <f>"00565882"</f>
        <v>00565882</v>
      </c>
      <c r="B1728" t="s">
        <v>3825</v>
      </c>
      <c r="C1728" t="s">
        <v>3828</v>
      </c>
      <c r="D1728" t="s">
        <v>31</v>
      </c>
      <c r="E1728" t="s">
        <v>26</v>
      </c>
      <c r="F1728" t="s">
        <v>17</v>
      </c>
      <c r="G1728" t="str">
        <f>"02"</f>
        <v>02</v>
      </c>
      <c r="H1728" t="str">
        <f>"3  "</f>
        <v xml:space="preserve">3  </v>
      </c>
      <c r="I1728" t="str">
        <f>"2018/01/26"</f>
        <v>2018/01/26</v>
      </c>
      <c r="J1728" t="str">
        <f>"510"</f>
        <v>510</v>
      </c>
      <c r="K1728" t="str">
        <f>"20271121"</f>
        <v>20271121</v>
      </c>
      <c r="L1728" t="s">
        <v>18</v>
      </c>
      <c r="M1728" t="str">
        <f>"20170308"</f>
        <v>20170308</v>
      </c>
    </row>
    <row r="1729" spans="1:13" x14ac:dyDescent="0.25">
      <c r="A1729" t="str">
        <f>"00172825"</f>
        <v>00172825</v>
      </c>
      <c r="B1729" t="s">
        <v>3825</v>
      </c>
      <c r="C1729" t="s">
        <v>267</v>
      </c>
      <c r="D1729" t="s">
        <v>21</v>
      </c>
      <c r="E1729" t="s">
        <v>16</v>
      </c>
      <c r="F1729" t="s">
        <v>17</v>
      </c>
      <c r="G1729" t="str">
        <f>"02"</f>
        <v>02</v>
      </c>
      <c r="H1729" t="str">
        <f>"4  "</f>
        <v xml:space="preserve">4  </v>
      </c>
      <c r="I1729" t="str">
        <f>"1995/01/25"</f>
        <v>1995/01/25</v>
      </c>
      <c r="J1729" t="str">
        <f>"503"</f>
        <v>503</v>
      </c>
      <c r="K1729" t="str">
        <f>"20420406"</f>
        <v>20420406</v>
      </c>
      <c r="L1729" t="str">
        <f>"20470307"</f>
        <v>20470307</v>
      </c>
      <c r="M1729" t="str">
        <f>"19950123"</f>
        <v>19950123</v>
      </c>
    </row>
    <row r="1730" spans="1:13" x14ac:dyDescent="0.25">
      <c r="A1730" t="str">
        <f>"00339043"</f>
        <v>00339043</v>
      </c>
      <c r="B1730" t="s">
        <v>3829</v>
      </c>
      <c r="C1730" t="s">
        <v>115</v>
      </c>
      <c r="D1730" t="s">
        <v>45</v>
      </c>
      <c r="E1730" t="s">
        <v>16</v>
      </c>
      <c r="F1730" t="s">
        <v>17</v>
      </c>
      <c r="G1730" t="str">
        <f>"02"</f>
        <v>02</v>
      </c>
      <c r="H1730" t="str">
        <f>"7  "</f>
        <v xml:space="preserve">7  </v>
      </c>
      <c r="I1730" t="str">
        <f>"2002/05/30"</f>
        <v>2002/05/30</v>
      </c>
      <c r="J1730" t="str">
        <f>"503"</f>
        <v>503</v>
      </c>
      <c r="K1730" t="s">
        <v>18</v>
      </c>
      <c r="L1730" t="s">
        <v>18</v>
      </c>
      <c r="M1730" t="str">
        <f>"20000818"</f>
        <v>20000818</v>
      </c>
    </row>
    <row r="1731" spans="1:13" x14ac:dyDescent="0.25">
      <c r="A1731" t="str">
        <f>"00442182"</f>
        <v>00442182</v>
      </c>
      <c r="B1731" t="s">
        <v>3829</v>
      </c>
      <c r="C1731" t="s">
        <v>55</v>
      </c>
      <c r="D1731" t="s">
        <v>16</v>
      </c>
      <c r="E1731" t="s">
        <v>16</v>
      </c>
      <c r="F1731" t="s">
        <v>17</v>
      </c>
      <c r="G1731" t="str">
        <f>"02"</f>
        <v>02</v>
      </c>
      <c r="H1731" t="str">
        <f>"7  "</f>
        <v xml:space="preserve">7  </v>
      </c>
      <c r="I1731" t="str">
        <f>"2002/05/30"</f>
        <v>2002/05/30</v>
      </c>
      <c r="J1731" t="str">
        <f>"503"</f>
        <v>503</v>
      </c>
      <c r="K1731" t="s">
        <v>18</v>
      </c>
      <c r="L1731" t="s">
        <v>18</v>
      </c>
      <c r="M1731" t="str">
        <f>"20000818"</f>
        <v>20000818</v>
      </c>
    </row>
    <row r="1732" spans="1:13" x14ac:dyDescent="0.25">
      <c r="A1732" t="str">
        <f>"00475817"</f>
        <v>00475817</v>
      </c>
      <c r="B1732" t="s">
        <v>3830</v>
      </c>
      <c r="C1732" t="s">
        <v>14</v>
      </c>
      <c r="D1732" t="s">
        <v>25</v>
      </c>
      <c r="E1732" t="s">
        <v>26</v>
      </c>
      <c r="F1732" t="s">
        <v>17</v>
      </c>
      <c r="G1732" t="str">
        <f>"02"</f>
        <v>02</v>
      </c>
      <c r="H1732" t="str">
        <f>"3  "</f>
        <v xml:space="preserve">3  </v>
      </c>
      <c r="I1732" t="str">
        <f>"2020/08/05"</f>
        <v>2020/08/05</v>
      </c>
      <c r="J1732" t="str">
        <f>"533"</f>
        <v>533</v>
      </c>
      <c r="K1732" t="str">
        <f>"20241206"</f>
        <v>20241206</v>
      </c>
      <c r="L1732" t="s">
        <v>18</v>
      </c>
      <c r="M1732" t="str">
        <f>"20141204"</f>
        <v>20141204</v>
      </c>
    </row>
    <row r="1733" spans="1:13" x14ac:dyDescent="0.25">
      <c r="A1733" t="str">
        <f>"00228554"</f>
        <v>00228554</v>
      </c>
      <c r="B1733" t="s">
        <v>3830</v>
      </c>
      <c r="C1733" t="s">
        <v>302</v>
      </c>
      <c r="D1733" t="s">
        <v>21</v>
      </c>
      <c r="E1733" t="s">
        <v>26</v>
      </c>
      <c r="F1733" t="s">
        <v>17</v>
      </c>
      <c r="G1733" t="str">
        <f>"02"</f>
        <v>02</v>
      </c>
      <c r="H1733" t="str">
        <f>"3  "</f>
        <v xml:space="preserve">3  </v>
      </c>
      <c r="I1733" t="str">
        <f>"2017/01/10"</f>
        <v>2017/01/10</v>
      </c>
      <c r="J1733" t="str">
        <f>"504"</f>
        <v>504</v>
      </c>
      <c r="K1733" t="str">
        <f>"20250312"</f>
        <v>20250312</v>
      </c>
      <c r="L1733" t="s">
        <v>18</v>
      </c>
      <c r="M1733" t="str">
        <f>"20000428"</f>
        <v>20000428</v>
      </c>
    </row>
    <row r="1734" spans="1:13" x14ac:dyDescent="0.25">
      <c r="A1734" t="str">
        <f>"00211354"</f>
        <v>00211354</v>
      </c>
      <c r="B1734" t="s">
        <v>3830</v>
      </c>
      <c r="C1734" t="s">
        <v>72</v>
      </c>
      <c r="D1734" t="s">
        <v>51</v>
      </c>
      <c r="E1734" t="s">
        <v>26</v>
      </c>
      <c r="F1734" t="s">
        <v>17</v>
      </c>
      <c r="G1734" t="str">
        <f>"02"</f>
        <v>02</v>
      </c>
      <c r="H1734" t="str">
        <f>"3  "</f>
        <v xml:space="preserve">3  </v>
      </c>
      <c r="I1734" t="str">
        <f>"1999/01/19"</f>
        <v>1999/01/19</v>
      </c>
      <c r="J1734" t="str">
        <f>"502"</f>
        <v>502</v>
      </c>
      <c r="K1734" t="str">
        <f>"20601031"</f>
        <v>20601031</v>
      </c>
      <c r="L1734" t="s">
        <v>18</v>
      </c>
      <c r="M1734" t="str">
        <f>"19970118"</f>
        <v>19970118</v>
      </c>
    </row>
    <row r="1735" spans="1:13" x14ac:dyDescent="0.25">
      <c r="A1735" t="str">
        <f>"00610626"</f>
        <v>00610626</v>
      </c>
      <c r="B1735" t="s">
        <v>3830</v>
      </c>
      <c r="C1735" t="s">
        <v>3832</v>
      </c>
      <c r="D1735" t="s">
        <v>97</v>
      </c>
      <c r="E1735" t="s">
        <v>26</v>
      </c>
      <c r="F1735" t="s">
        <v>17</v>
      </c>
      <c r="G1735" t="str">
        <f>"02"</f>
        <v>02</v>
      </c>
      <c r="H1735" t="str">
        <f>"3  "</f>
        <v xml:space="preserve">3  </v>
      </c>
      <c r="I1735" t="str">
        <f>"2020/09/16"</f>
        <v>2020/09/16</v>
      </c>
      <c r="J1735" t="str">
        <f>"533"</f>
        <v>533</v>
      </c>
      <c r="K1735" t="str">
        <f>"20751212"</f>
        <v>20751212</v>
      </c>
      <c r="L1735" t="s">
        <v>18</v>
      </c>
      <c r="M1735" t="str">
        <f>"20110622"</f>
        <v>20110622</v>
      </c>
    </row>
    <row r="1736" spans="1:13" x14ac:dyDescent="0.25">
      <c r="A1736" t="str">
        <f>"00229451"</f>
        <v>00229451</v>
      </c>
      <c r="B1736" t="s">
        <v>3830</v>
      </c>
      <c r="C1736" t="s">
        <v>2387</v>
      </c>
      <c r="D1736" t="s">
        <v>21</v>
      </c>
      <c r="E1736" t="s">
        <v>26</v>
      </c>
      <c r="F1736" t="s">
        <v>17</v>
      </c>
      <c r="G1736" t="str">
        <f>"02"</f>
        <v>02</v>
      </c>
      <c r="H1736" t="str">
        <f>"3  "</f>
        <v xml:space="preserve">3  </v>
      </c>
      <c r="I1736" t="str">
        <f>"2011/08/03"</f>
        <v>2011/08/03</v>
      </c>
      <c r="J1736" t="str">
        <f>"110"</f>
        <v>110</v>
      </c>
      <c r="K1736" t="str">
        <f>"20240603"</f>
        <v>20240603</v>
      </c>
      <c r="L1736" t="s">
        <v>18</v>
      </c>
      <c r="M1736" t="str">
        <f>"20110803"</f>
        <v>20110803</v>
      </c>
    </row>
    <row r="1737" spans="1:13" x14ac:dyDescent="0.25">
      <c r="A1737" t="str">
        <f>"00441450"</f>
        <v>00441450</v>
      </c>
      <c r="B1737" t="s">
        <v>3830</v>
      </c>
      <c r="C1737" t="s">
        <v>233</v>
      </c>
      <c r="D1737" t="s">
        <v>51</v>
      </c>
      <c r="E1737" t="s">
        <v>26</v>
      </c>
      <c r="F1737" t="s">
        <v>17</v>
      </c>
      <c r="G1737" t="str">
        <f>"02"</f>
        <v>02</v>
      </c>
      <c r="H1737" t="str">
        <f>"3  "</f>
        <v xml:space="preserve">3  </v>
      </c>
      <c r="I1737" t="str">
        <f>"2020/07/21"</f>
        <v>2020/07/21</v>
      </c>
      <c r="J1737" t="str">
        <f>"533"</f>
        <v>533</v>
      </c>
      <c r="K1737" t="str">
        <f>"20280330"</f>
        <v>20280330</v>
      </c>
      <c r="L1737" t="s">
        <v>18</v>
      </c>
      <c r="M1737" t="str">
        <f>"20141121"</f>
        <v>20141121</v>
      </c>
    </row>
    <row r="1738" spans="1:13" x14ac:dyDescent="0.25">
      <c r="A1738" t="str">
        <f>"00442610"</f>
        <v>00442610</v>
      </c>
      <c r="B1738" t="s">
        <v>3830</v>
      </c>
      <c r="C1738" t="s">
        <v>74</v>
      </c>
      <c r="D1738" t="s">
        <v>53</v>
      </c>
      <c r="E1738" t="s">
        <v>26</v>
      </c>
      <c r="F1738" t="s">
        <v>17</v>
      </c>
      <c r="G1738" t="str">
        <f>"02"</f>
        <v>02</v>
      </c>
      <c r="H1738" t="str">
        <f>"3  "</f>
        <v xml:space="preserve">3  </v>
      </c>
      <c r="I1738" t="str">
        <f>"2009/10/14"</f>
        <v>2009/10/14</v>
      </c>
      <c r="J1738" t="str">
        <f>"110"</f>
        <v>110</v>
      </c>
      <c r="K1738" t="str">
        <f>"20690206"</f>
        <v>20690206</v>
      </c>
      <c r="L1738" t="s">
        <v>18</v>
      </c>
      <c r="M1738" t="str">
        <f>"20081114"</f>
        <v>20081114</v>
      </c>
    </row>
    <row r="1739" spans="1:13" x14ac:dyDescent="0.25">
      <c r="A1739" t="str">
        <f>"00341528"</f>
        <v>00341528</v>
      </c>
      <c r="B1739" t="s">
        <v>3830</v>
      </c>
      <c r="C1739" t="s">
        <v>3834</v>
      </c>
      <c r="D1739" t="s">
        <v>25</v>
      </c>
      <c r="E1739" t="s">
        <v>26</v>
      </c>
      <c r="F1739" t="s">
        <v>17</v>
      </c>
      <c r="G1739" t="str">
        <f>"02"</f>
        <v>02</v>
      </c>
      <c r="H1739" t="str">
        <f>"3  "</f>
        <v xml:space="preserve">3  </v>
      </c>
      <c r="I1739" t="str">
        <f>"2000/10/30"</f>
        <v>2000/10/30</v>
      </c>
      <c r="J1739" t="str">
        <f>"114"</f>
        <v>114</v>
      </c>
      <c r="K1739" t="str">
        <f>"20640917"</f>
        <v>20640917</v>
      </c>
      <c r="L1739" t="s">
        <v>18</v>
      </c>
      <c r="M1739" t="str">
        <f>"19990918"</f>
        <v>19990918</v>
      </c>
    </row>
    <row r="1740" spans="1:13" x14ac:dyDescent="0.25">
      <c r="A1740" t="str">
        <f>"00367539"</f>
        <v>00367539</v>
      </c>
      <c r="B1740" t="s">
        <v>3837</v>
      </c>
      <c r="C1740" t="s">
        <v>3838</v>
      </c>
      <c r="D1740" t="s">
        <v>456</v>
      </c>
      <c r="E1740" t="s">
        <v>26</v>
      </c>
      <c r="F1740" t="s">
        <v>17</v>
      </c>
      <c r="G1740" t="str">
        <f>"02"</f>
        <v>02</v>
      </c>
      <c r="H1740" t="str">
        <f>"3  "</f>
        <v xml:space="preserve">3  </v>
      </c>
      <c r="I1740" t="str">
        <f>"2016/03/30"</f>
        <v>2016/03/30</v>
      </c>
      <c r="J1740" t="str">
        <f>"510"</f>
        <v>510</v>
      </c>
      <c r="K1740" t="str">
        <f>"20231024"</f>
        <v>20231024</v>
      </c>
      <c r="L1740" t="s">
        <v>18</v>
      </c>
      <c r="M1740" t="str">
        <f>"20141230"</f>
        <v>20141230</v>
      </c>
    </row>
    <row r="1741" spans="1:13" x14ac:dyDescent="0.25">
      <c r="A1741" t="str">
        <f>"00358694"</f>
        <v>00358694</v>
      </c>
      <c r="B1741" t="s">
        <v>3837</v>
      </c>
      <c r="C1741" t="s">
        <v>44</v>
      </c>
      <c r="D1741" t="s">
        <v>51</v>
      </c>
      <c r="E1741" t="s">
        <v>16</v>
      </c>
      <c r="F1741" t="s">
        <v>17</v>
      </c>
      <c r="G1741" t="str">
        <f>"02"</f>
        <v>02</v>
      </c>
      <c r="H1741" t="str">
        <f>"3  "</f>
        <v xml:space="preserve">3  </v>
      </c>
      <c r="I1741" t="str">
        <f>"2020/09/02"</f>
        <v>2020/09/02</v>
      </c>
      <c r="J1741" t="str">
        <f>"533"</f>
        <v>533</v>
      </c>
      <c r="K1741" t="str">
        <f>"21651013"</f>
        <v>21651013</v>
      </c>
      <c r="L1741" t="s">
        <v>18</v>
      </c>
      <c r="M1741" t="str">
        <f>"20060816"</f>
        <v>20060816</v>
      </c>
    </row>
    <row r="1742" spans="1:13" x14ac:dyDescent="0.25">
      <c r="A1742" t="str">
        <f>"00350275"</f>
        <v>00350275</v>
      </c>
      <c r="B1742" t="s">
        <v>3837</v>
      </c>
      <c r="C1742" t="s">
        <v>140</v>
      </c>
      <c r="D1742" t="s">
        <v>456</v>
      </c>
      <c r="E1742" t="s">
        <v>26</v>
      </c>
      <c r="F1742" t="s">
        <v>17</v>
      </c>
      <c r="G1742" t="str">
        <f>"02"</f>
        <v>02</v>
      </c>
      <c r="H1742" t="str">
        <f>"3  "</f>
        <v xml:space="preserve">3  </v>
      </c>
      <c r="I1742" t="str">
        <f>"2017/02/06"</f>
        <v>2017/02/06</v>
      </c>
      <c r="J1742" t="str">
        <f>"110"</f>
        <v>110</v>
      </c>
      <c r="K1742" t="str">
        <f>"20230822"</f>
        <v>20230822</v>
      </c>
      <c r="L1742" t="s">
        <v>18</v>
      </c>
      <c r="M1742" t="str">
        <f>"20160712"</f>
        <v>20160712</v>
      </c>
    </row>
    <row r="1743" spans="1:13" x14ac:dyDescent="0.25">
      <c r="A1743" t="str">
        <f>"00573038"</f>
        <v>00573038</v>
      </c>
      <c r="B1743" t="s">
        <v>3839</v>
      </c>
      <c r="C1743" t="s">
        <v>972</v>
      </c>
      <c r="D1743" t="s">
        <v>80</v>
      </c>
      <c r="E1743" t="s">
        <v>26</v>
      </c>
      <c r="F1743" t="s">
        <v>17</v>
      </c>
      <c r="G1743" t="str">
        <f>"02"</f>
        <v>02</v>
      </c>
      <c r="H1743" t="str">
        <f>"3  "</f>
        <v xml:space="preserve">3  </v>
      </c>
      <c r="I1743" t="str">
        <f>"2020/02/07"</f>
        <v>2020/02/07</v>
      </c>
      <c r="J1743" t="str">
        <f>"510"</f>
        <v>510</v>
      </c>
      <c r="K1743" t="str">
        <f>"20211026"</f>
        <v>20211026</v>
      </c>
      <c r="L1743" t="s">
        <v>18</v>
      </c>
      <c r="M1743" t="str">
        <f>"20190104"</f>
        <v>20190104</v>
      </c>
    </row>
    <row r="1744" spans="1:13" x14ac:dyDescent="0.25">
      <c r="A1744" t="str">
        <f>"00455846"</f>
        <v>00455846</v>
      </c>
      <c r="B1744" t="s">
        <v>3839</v>
      </c>
      <c r="C1744" t="s">
        <v>437</v>
      </c>
      <c r="D1744" t="s">
        <v>25</v>
      </c>
      <c r="E1744" t="s">
        <v>26</v>
      </c>
      <c r="F1744" t="s">
        <v>17</v>
      </c>
      <c r="G1744" t="str">
        <f>"02"</f>
        <v>02</v>
      </c>
      <c r="H1744" t="str">
        <f>"3  "</f>
        <v xml:space="preserve">3  </v>
      </c>
      <c r="I1744" t="str">
        <f>"2018/07/17"</f>
        <v>2018/07/17</v>
      </c>
      <c r="J1744" t="str">
        <f>"510"</f>
        <v>510</v>
      </c>
      <c r="K1744" t="str">
        <f>"20210505"</f>
        <v>20210505</v>
      </c>
      <c r="L1744" t="s">
        <v>18</v>
      </c>
      <c r="M1744" t="str">
        <f>"20151208"</f>
        <v>20151208</v>
      </c>
    </row>
    <row r="1745" spans="1:13" x14ac:dyDescent="0.25">
      <c r="A1745" t="str">
        <f>"00437878"</f>
        <v>00437878</v>
      </c>
      <c r="B1745" t="s">
        <v>3839</v>
      </c>
      <c r="C1745" t="s">
        <v>1207</v>
      </c>
      <c r="D1745" t="s">
        <v>51</v>
      </c>
      <c r="E1745" t="s">
        <v>26</v>
      </c>
      <c r="F1745" t="s">
        <v>17</v>
      </c>
      <c r="G1745" t="str">
        <f>"02"</f>
        <v>02</v>
      </c>
      <c r="H1745" t="str">
        <f>"3  "</f>
        <v xml:space="preserve">3  </v>
      </c>
      <c r="I1745" t="str">
        <f>"2018/04/10"</f>
        <v>2018/04/10</v>
      </c>
      <c r="J1745" t="str">
        <f>"110"</f>
        <v>110</v>
      </c>
      <c r="K1745" t="str">
        <f>"21041220"</f>
        <v>21041220</v>
      </c>
      <c r="L1745" t="s">
        <v>18</v>
      </c>
      <c r="M1745" t="str">
        <f>"20160812"</f>
        <v>20160812</v>
      </c>
    </row>
    <row r="1746" spans="1:13" x14ac:dyDescent="0.25">
      <c r="A1746" t="str">
        <f>"00429889"</f>
        <v>00429889</v>
      </c>
      <c r="B1746" t="s">
        <v>3839</v>
      </c>
      <c r="C1746" t="s">
        <v>3842</v>
      </c>
      <c r="D1746" t="s">
        <v>21</v>
      </c>
      <c r="E1746" t="s">
        <v>26</v>
      </c>
      <c r="F1746" t="s">
        <v>17</v>
      </c>
      <c r="G1746" t="str">
        <f>"02"</f>
        <v>02</v>
      </c>
      <c r="H1746" t="str">
        <f>"3  "</f>
        <v xml:space="preserve">3  </v>
      </c>
      <c r="I1746" t="str">
        <f>"2019/11/22"</f>
        <v>2019/11/22</v>
      </c>
      <c r="J1746" t="str">
        <f>"510"</f>
        <v>510</v>
      </c>
      <c r="K1746" t="str">
        <f>"20831108"</f>
        <v>20831108</v>
      </c>
      <c r="L1746" t="s">
        <v>18</v>
      </c>
      <c r="M1746" t="str">
        <f>"20160329"</f>
        <v>20160329</v>
      </c>
    </row>
    <row r="1747" spans="1:13" x14ac:dyDescent="0.25">
      <c r="A1747" t="str">
        <f>"00618065"</f>
        <v>00618065</v>
      </c>
      <c r="B1747" t="s">
        <v>3843</v>
      </c>
      <c r="C1747" t="s">
        <v>1177</v>
      </c>
      <c r="D1747" t="s">
        <v>21</v>
      </c>
      <c r="E1747" t="s">
        <v>26</v>
      </c>
      <c r="F1747" t="s">
        <v>17</v>
      </c>
      <c r="G1747" t="str">
        <f>"02"</f>
        <v>02</v>
      </c>
      <c r="H1747" t="str">
        <f>"3  "</f>
        <v xml:space="preserve">3  </v>
      </c>
      <c r="I1747" t="str">
        <f>"2019/05/03"</f>
        <v>2019/05/03</v>
      </c>
      <c r="J1747" t="str">
        <f>"510"</f>
        <v>510</v>
      </c>
      <c r="K1747" t="str">
        <f>"20270118"</f>
        <v>20270118</v>
      </c>
      <c r="L1747" t="s">
        <v>18</v>
      </c>
      <c r="M1747" t="str">
        <f>"20180130"</f>
        <v>20180130</v>
      </c>
    </row>
    <row r="1748" spans="1:13" x14ac:dyDescent="0.25">
      <c r="A1748" t="str">
        <f>"00355753"</f>
        <v>00355753</v>
      </c>
      <c r="B1748" t="s">
        <v>3843</v>
      </c>
      <c r="C1748" t="s">
        <v>3846</v>
      </c>
      <c r="D1748" t="s">
        <v>15</v>
      </c>
      <c r="E1748" t="s">
        <v>26</v>
      </c>
      <c r="F1748" t="s">
        <v>17</v>
      </c>
      <c r="G1748" t="str">
        <f>"02"</f>
        <v>02</v>
      </c>
      <c r="H1748" t="str">
        <f>"3  "</f>
        <v xml:space="preserve">3  </v>
      </c>
      <c r="I1748" t="str">
        <f>"2013/10/27"</f>
        <v>2013/10/27</v>
      </c>
      <c r="J1748" t="str">
        <f>"110"</f>
        <v>110</v>
      </c>
      <c r="K1748" t="str">
        <f>"20350413"</f>
        <v>20350413</v>
      </c>
      <c r="L1748" t="s">
        <v>18</v>
      </c>
      <c r="M1748" t="str">
        <f>"20130328"</f>
        <v>20130328</v>
      </c>
    </row>
    <row r="1749" spans="1:13" x14ac:dyDescent="0.25">
      <c r="A1749" t="str">
        <f>"00757766"</f>
        <v>00757766</v>
      </c>
      <c r="B1749" t="s">
        <v>3847</v>
      </c>
      <c r="C1749" t="s">
        <v>191</v>
      </c>
      <c r="D1749" t="s">
        <v>97</v>
      </c>
      <c r="E1749" t="s">
        <v>26</v>
      </c>
      <c r="F1749" t="s">
        <v>17</v>
      </c>
      <c r="G1749" t="str">
        <f>"02"</f>
        <v>02</v>
      </c>
      <c r="H1749" t="str">
        <f>"3  "</f>
        <v xml:space="preserve">3  </v>
      </c>
      <c r="I1749" t="str">
        <f>"2020/01/31"</f>
        <v>2020/01/31</v>
      </c>
      <c r="J1749" t="str">
        <f>"503"</f>
        <v>503</v>
      </c>
      <c r="K1749" t="str">
        <f>"20220207"</f>
        <v>20220207</v>
      </c>
      <c r="L1749" t="s">
        <v>18</v>
      </c>
      <c r="M1749" t="str">
        <f>"20170812"</f>
        <v>20170812</v>
      </c>
    </row>
    <row r="1750" spans="1:13" x14ac:dyDescent="0.25">
      <c r="A1750" t="str">
        <f>"00526236"</f>
        <v>00526236</v>
      </c>
      <c r="B1750" t="s">
        <v>3847</v>
      </c>
      <c r="C1750" t="s">
        <v>1841</v>
      </c>
      <c r="D1750" t="s">
        <v>40</v>
      </c>
      <c r="E1750" t="s">
        <v>26</v>
      </c>
      <c r="F1750" t="s">
        <v>17</v>
      </c>
      <c r="G1750" t="str">
        <f>"02"</f>
        <v>02</v>
      </c>
      <c r="H1750" t="str">
        <f>"3  "</f>
        <v xml:space="preserve">3  </v>
      </c>
      <c r="I1750" t="str">
        <f>"2016/08/15"</f>
        <v>2016/08/15</v>
      </c>
      <c r="J1750" t="str">
        <f>"510"</f>
        <v>510</v>
      </c>
      <c r="K1750" t="str">
        <f>"20201227"</f>
        <v>20201227</v>
      </c>
      <c r="L1750" t="s">
        <v>18</v>
      </c>
      <c r="M1750" t="str">
        <f>"20150908"</f>
        <v>20150908</v>
      </c>
    </row>
    <row r="1751" spans="1:13" x14ac:dyDescent="0.25">
      <c r="A1751" t="str">
        <f>"00265712"</f>
        <v>00265712</v>
      </c>
      <c r="B1751" t="s">
        <v>3847</v>
      </c>
      <c r="C1751" t="s">
        <v>313</v>
      </c>
      <c r="D1751" t="s">
        <v>61</v>
      </c>
      <c r="E1751" t="s">
        <v>16</v>
      </c>
      <c r="F1751" t="s">
        <v>17</v>
      </c>
      <c r="G1751" t="str">
        <f>"02"</f>
        <v>02</v>
      </c>
      <c r="H1751" t="str">
        <f>"3  "</f>
        <v xml:space="preserve">3  </v>
      </c>
      <c r="I1751" t="str">
        <f>"2020/08/05"</f>
        <v>2020/08/05</v>
      </c>
      <c r="J1751" t="str">
        <f>"533"</f>
        <v>533</v>
      </c>
      <c r="K1751" t="str">
        <f>"20350810"</f>
        <v>20350810</v>
      </c>
      <c r="L1751" t="s">
        <v>18</v>
      </c>
      <c r="M1751" t="str">
        <f>"20140506"</f>
        <v>20140506</v>
      </c>
    </row>
    <row r="1752" spans="1:13" x14ac:dyDescent="0.25">
      <c r="A1752" t="str">
        <f>"00496671"</f>
        <v>00496671</v>
      </c>
      <c r="B1752" t="s">
        <v>3847</v>
      </c>
      <c r="C1752" t="s">
        <v>99</v>
      </c>
      <c r="D1752" t="s">
        <v>25</v>
      </c>
      <c r="E1752" t="s">
        <v>26</v>
      </c>
      <c r="F1752" t="s">
        <v>17</v>
      </c>
      <c r="G1752" t="str">
        <f>"02"</f>
        <v>02</v>
      </c>
      <c r="H1752" t="str">
        <f>"3  "</f>
        <v xml:space="preserve">3  </v>
      </c>
      <c r="I1752" t="str">
        <f>"2014/01/31"</f>
        <v>2014/01/31</v>
      </c>
      <c r="J1752" t="str">
        <f>"510"</f>
        <v>510</v>
      </c>
      <c r="K1752" t="str">
        <f>"20300329"</f>
        <v>20300329</v>
      </c>
      <c r="L1752" t="s">
        <v>18</v>
      </c>
      <c r="M1752" t="str">
        <f>"20120707"</f>
        <v>20120707</v>
      </c>
    </row>
    <row r="1753" spans="1:13" x14ac:dyDescent="0.25">
      <c r="A1753" t="str">
        <f>"00078263"</f>
        <v>00078263</v>
      </c>
      <c r="B1753" t="s">
        <v>3847</v>
      </c>
      <c r="C1753" t="s">
        <v>308</v>
      </c>
      <c r="D1753" t="s">
        <v>45</v>
      </c>
      <c r="E1753" t="s">
        <v>26</v>
      </c>
      <c r="F1753" t="s">
        <v>17</v>
      </c>
      <c r="G1753" t="str">
        <f>"02"</f>
        <v>02</v>
      </c>
      <c r="H1753" t="str">
        <f>"7  "</f>
        <v xml:space="preserve">7  </v>
      </c>
      <c r="I1753" t="str">
        <f>"2001/01/03"</f>
        <v>2001/01/03</v>
      </c>
      <c r="J1753" t="str">
        <f>"533"</f>
        <v>533</v>
      </c>
      <c r="K1753" t="s">
        <v>18</v>
      </c>
      <c r="L1753" t="s">
        <v>18</v>
      </c>
      <c r="M1753" t="str">
        <f>"19911221"</f>
        <v>19911221</v>
      </c>
    </row>
    <row r="1754" spans="1:13" x14ac:dyDescent="0.25">
      <c r="A1754" t="str">
        <f>"00551883"</f>
        <v>00551883</v>
      </c>
      <c r="B1754" t="s">
        <v>3847</v>
      </c>
      <c r="C1754" t="s">
        <v>308</v>
      </c>
      <c r="D1754" t="s">
        <v>61</v>
      </c>
      <c r="E1754" t="s">
        <v>16</v>
      </c>
      <c r="F1754" t="s">
        <v>17</v>
      </c>
      <c r="G1754" t="str">
        <f>"02"</f>
        <v>02</v>
      </c>
      <c r="H1754" t="str">
        <f>"3  "</f>
        <v xml:space="preserve">3  </v>
      </c>
      <c r="I1754" t="str">
        <f>"2006/06/02"</f>
        <v>2006/06/02</v>
      </c>
      <c r="J1754" t="str">
        <f>"110"</f>
        <v>110</v>
      </c>
      <c r="K1754" t="str">
        <f>"20440422"</f>
        <v>20440422</v>
      </c>
      <c r="L1754" t="s">
        <v>18</v>
      </c>
      <c r="M1754" t="str">
        <f>"20050629"</f>
        <v>20050629</v>
      </c>
    </row>
    <row r="1755" spans="1:13" x14ac:dyDescent="0.25">
      <c r="A1755" t="str">
        <f>"00751761"</f>
        <v>00751761</v>
      </c>
      <c r="B1755" t="s">
        <v>3847</v>
      </c>
      <c r="C1755" t="s">
        <v>327</v>
      </c>
      <c r="D1755" t="s">
        <v>45</v>
      </c>
      <c r="E1755" t="s">
        <v>16</v>
      </c>
      <c r="F1755" t="s">
        <v>17</v>
      </c>
      <c r="G1755" t="str">
        <f>"02"</f>
        <v>02</v>
      </c>
      <c r="H1755" t="str">
        <f>"3  "</f>
        <v xml:space="preserve">3  </v>
      </c>
      <c r="I1755" t="str">
        <f>"2020/07/21"</f>
        <v>2020/07/21</v>
      </c>
      <c r="J1755" t="str">
        <f>"533"</f>
        <v>533</v>
      </c>
      <c r="K1755" t="str">
        <f>"20270927"</f>
        <v>20270927</v>
      </c>
      <c r="L1755" t="s">
        <v>18</v>
      </c>
      <c r="M1755" t="str">
        <f>"20140516"</f>
        <v>20140516</v>
      </c>
    </row>
    <row r="1756" spans="1:13" x14ac:dyDescent="0.25">
      <c r="A1756" t="str">
        <f>"00598222"</f>
        <v>00598222</v>
      </c>
      <c r="B1756" t="s">
        <v>3847</v>
      </c>
      <c r="C1756" t="s">
        <v>3852</v>
      </c>
      <c r="D1756" t="s">
        <v>26</v>
      </c>
      <c r="E1756" t="s">
        <v>26</v>
      </c>
      <c r="F1756" t="s">
        <v>17</v>
      </c>
      <c r="G1756" t="str">
        <f>"02"</f>
        <v>02</v>
      </c>
      <c r="H1756" t="str">
        <f>"3  "</f>
        <v xml:space="preserve">3  </v>
      </c>
      <c r="I1756" t="str">
        <f>"2019/05/03"</f>
        <v>2019/05/03</v>
      </c>
      <c r="J1756" t="str">
        <f>"510"</f>
        <v>510</v>
      </c>
      <c r="K1756" t="str">
        <f>"20261125"</f>
        <v>20261125</v>
      </c>
      <c r="L1756" t="s">
        <v>18</v>
      </c>
      <c r="M1756" t="str">
        <f>"20171230"</f>
        <v>20171230</v>
      </c>
    </row>
    <row r="1757" spans="1:13" x14ac:dyDescent="0.25">
      <c r="A1757" t="str">
        <f>"00260933"</f>
        <v>00260933</v>
      </c>
      <c r="B1757" t="s">
        <v>3847</v>
      </c>
      <c r="C1757" t="s">
        <v>422</v>
      </c>
      <c r="D1757" t="s">
        <v>215</v>
      </c>
      <c r="E1757" t="s">
        <v>26</v>
      </c>
      <c r="F1757" t="s">
        <v>17</v>
      </c>
      <c r="G1757" t="str">
        <f>"02"</f>
        <v>02</v>
      </c>
      <c r="H1757" t="str">
        <f>"3  "</f>
        <v xml:space="preserve">3  </v>
      </c>
      <c r="I1757" t="str">
        <f>"2017/11/20"</f>
        <v>2017/11/20</v>
      </c>
      <c r="J1757" t="str">
        <f>"510"</f>
        <v>510</v>
      </c>
      <c r="K1757" t="str">
        <f>"20301103"</f>
        <v>20301103</v>
      </c>
      <c r="L1757" t="s">
        <v>18</v>
      </c>
      <c r="M1757" t="str">
        <f>"20170517"</f>
        <v>20170517</v>
      </c>
    </row>
    <row r="1758" spans="1:13" x14ac:dyDescent="0.25">
      <c r="A1758" t="str">
        <f>"00888710"</f>
        <v>00888710</v>
      </c>
      <c r="B1758" t="s">
        <v>3847</v>
      </c>
      <c r="C1758" t="s">
        <v>3858</v>
      </c>
      <c r="D1758" t="s">
        <v>179</v>
      </c>
      <c r="E1758" t="s">
        <v>26</v>
      </c>
      <c r="F1758" t="s">
        <v>17</v>
      </c>
      <c r="G1758" t="str">
        <f>"02"</f>
        <v>02</v>
      </c>
      <c r="H1758" t="str">
        <f>"3  "</f>
        <v xml:space="preserve">3  </v>
      </c>
      <c r="I1758" t="str">
        <f>"2019/03/11"</f>
        <v>2019/03/11</v>
      </c>
      <c r="J1758" t="str">
        <f>"510"</f>
        <v>510</v>
      </c>
      <c r="K1758" t="str">
        <f>"20230305"</f>
        <v>20230305</v>
      </c>
      <c r="L1758" t="s">
        <v>18</v>
      </c>
      <c r="M1758" t="str">
        <f>"20180827"</f>
        <v>20180827</v>
      </c>
    </row>
    <row r="1759" spans="1:13" x14ac:dyDescent="0.25">
      <c r="A1759" t="str">
        <f>"00775476"</f>
        <v>00775476</v>
      </c>
      <c r="B1759" t="s">
        <v>3847</v>
      </c>
      <c r="C1759" t="s">
        <v>1609</v>
      </c>
      <c r="D1759" t="s">
        <v>97</v>
      </c>
      <c r="E1759" t="s">
        <v>26</v>
      </c>
      <c r="F1759" t="s">
        <v>17</v>
      </c>
      <c r="G1759" t="str">
        <f>"02"</f>
        <v>02</v>
      </c>
      <c r="H1759" t="str">
        <f>"3  "</f>
        <v xml:space="preserve">3  </v>
      </c>
      <c r="I1759" t="str">
        <f>"2020/09/16"</f>
        <v>2020/09/16</v>
      </c>
      <c r="J1759" t="str">
        <f>"533"</f>
        <v>533</v>
      </c>
      <c r="K1759" t="str">
        <f>"20250917"</f>
        <v>20250917</v>
      </c>
      <c r="L1759" t="s">
        <v>18</v>
      </c>
      <c r="M1759" t="str">
        <f>"20150331"</f>
        <v>20150331</v>
      </c>
    </row>
    <row r="1760" spans="1:13" x14ac:dyDescent="0.25">
      <c r="A1760" t="str">
        <f>"00857992"</f>
        <v>00857992</v>
      </c>
      <c r="B1760" t="s">
        <v>3863</v>
      </c>
      <c r="C1760" t="s">
        <v>3864</v>
      </c>
      <c r="D1760" t="s">
        <v>61</v>
      </c>
      <c r="E1760" t="s">
        <v>26</v>
      </c>
      <c r="F1760" t="s">
        <v>17</v>
      </c>
      <c r="G1760" t="str">
        <f>"02"</f>
        <v>02</v>
      </c>
      <c r="H1760" t="str">
        <f>"3  "</f>
        <v xml:space="preserve">3  </v>
      </c>
      <c r="I1760" t="str">
        <f>"2019/01/08"</f>
        <v>2019/01/08</v>
      </c>
      <c r="J1760" t="str">
        <f>"506"</f>
        <v>506</v>
      </c>
      <c r="K1760" t="str">
        <f>"20320201"</f>
        <v>20320201</v>
      </c>
      <c r="L1760" t="s">
        <v>18</v>
      </c>
      <c r="M1760" t="str">
        <f>"20181212"</f>
        <v>20181212</v>
      </c>
    </row>
    <row r="1761" spans="1:13" x14ac:dyDescent="0.25">
      <c r="A1761" t="str">
        <f>"00256056"</f>
        <v>00256056</v>
      </c>
      <c r="B1761" t="s">
        <v>3867</v>
      </c>
      <c r="C1761" t="s">
        <v>169</v>
      </c>
      <c r="D1761" t="s">
        <v>61</v>
      </c>
      <c r="E1761" t="s">
        <v>16</v>
      </c>
      <c r="F1761" t="s">
        <v>17</v>
      </c>
      <c r="G1761" t="str">
        <f>"02"</f>
        <v>02</v>
      </c>
      <c r="H1761" t="str">
        <f>"0  "</f>
        <v xml:space="preserve">0  </v>
      </c>
      <c r="I1761" t="str">
        <f>"2019/11/25"</f>
        <v>2019/11/25</v>
      </c>
      <c r="J1761" t="str">
        <f>"503"</f>
        <v>503</v>
      </c>
      <c r="K1761" t="s">
        <v>18</v>
      </c>
      <c r="L1761" t="s">
        <v>18</v>
      </c>
      <c r="M1761" t="s">
        <v>18</v>
      </c>
    </row>
    <row r="1762" spans="1:13" x14ac:dyDescent="0.25">
      <c r="A1762" t="str">
        <f>"00636119"</f>
        <v>00636119</v>
      </c>
      <c r="B1762" t="s">
        <v>3870</v>
      </c>
      <c r="C1762" t="s">
        <v>120</v>
      </c>
      <c r="D1762" t="s">
        <v>73</v>
      </c>
      <c r="E1762" t="s">
        <v>16</v>
      </c>
      <c r="F1762" t="s">
        <v>17</v>
      </c>
      <c r="G1762" t="str">
        <f>"02"</f>
        <v>02</v>
      </c>
      <c r="H1762" t="str">
        <f>"3  "</f>
        <v xml:space="preserve">3  </v>
      </c>
      <c r="I1762" t="str">
        <f>"2020/09/02"</f>
        <v>2020/09/02</v>
      </c>
      <c r="J1762" t="str">
        <f>"533"</f>
        <v>533</v>
      </c>
      <c r="K1762" t="str">
        <f>"20400214"</f>
        <v>20400214</v>
      </c>
      <c r="L1762" t="s">
        <v>18</v>
      </c>
      <c r="M1762" t="str">
        <f>"20090702"</f>
        <v>20090702</v>
      </c>
    </row>
    <row r="1763" spans="1:13" x14ac:dyDescent="0.25">
      <c r="A1763" t="str">
        <f>"00162469"</f>
        <v>00162469</v>
      </c>
      <c r="B1763" t="s">
        <v>3870</v>
      </c>
      <c r="C1763" t="s">
        <v>150</v>
      </c>
      <c r="D1763" t="s">
        <v>45</v>
      </c>
      <c r="E1763" t="s">
        <v>16</v>
      </c>
      <c r="F1763" t="s">
        <v>17</v>
      </c>
      <c r="G1763" t="str">
        <f>"02"</f>
        <v>02</v>
      </c>
      <c r="H1763" t="str">
        <f>"3  "</f>
        <v xml:space="preserve">3  </v>
      </c>
      <c r="I1763" t="str">
        <f>"2011/02/22"</f>
        <v>2011/02/22</v>
      </c>
      <c r="J1763" t="str">
        <f>"510"</f>
        <v>510</v>
      </c>
      <c r="K1763" t="str">
        <f>"20280810"</f>
        <v>20280810</v>
      </c>
      <c r="L1763" t="s">
        <v>18</v>
      </c>
      <c r="M1763" t="str">
        <f>"20060116"</f>
        <v>20060116</v>
      </c>
    </row>
    <row r="1764" spans="1:13" x14ac:dyDescent="0.25">
      <c r="A1764" t="str">
        <f>"00251323"</f>
        <v>00251323</v>
      </c>
      <c r="B1764" t="s">
        <v>3874</v>
      </c>
      <c r="C1764" t="s">
        <v>22</v>
      </c>
      <c r="D1764" t="s">
        <v>45</v>
      </c>
      <c r="E1764" t="s">
        <v>26</v>
      </c>
      <c r="F1764" t="s">
        <v>17</v>
      </c>
      <c r="G1764" t="str">
        <f>"02"</f>
        <v>02</v>
      </c>
      <c r="H1764" t="str">
        <f>"3  "</f>
        <v xml:space="preserve">3  </v>
      </c>
      <c r="I1764" t="str">
        <f>"2016/05/04"</f>
        <v>2016/05/04</v>
      </c>
      <c r="J1764" t="str">
        <f>"510"</f>
        <v>510</v>
      </c>
      <c r="K1764" t="str">
        <f>"20280416"</f>
        <v>20280416</v>
      </c>
      <c r="L1764" t="s">
        <v>18</v>
      </c>
      <c r="M1764" t="str">
        <f>"20140927"</f>
        <v>20140927</v>
      </c>
    </row>
    <row r="1765" spans="1:13" x14ac:dyDescent="0.25">
      <c r="A1765" t="str">
        <f>"00278637"</f>
        <v>00278637</v>
      </c>
      <c r="B1765" t="s">
        <v>3877</v>
      </c>
      <c r="C1765" t="s">
        <v>140</v>
      </c>
      <c r="D1765" t="s">
        <v>37</v>
      </c>
      <c r="E1765" t="s">
        <v>16</v>
      </c>
      <c r="F1765" t="s">
        <v>17</v>
      </c>
      <c r="G1765" t="str">
        <f>"02"</f>
        <v>02</v>
      </c>
      <c r="H1765" t="str">
        <f>"3  "</f>
        <v xml:space="preserve">3  </v>
      </c>
      <c r="I1765" t="str">
        <f>"2009/04/08"</f>
        <v>2009/04/08</v>
      </c>
      <c r="J1765" t="str">
        <f>"110"</f>
        <v>110</v>
      </c>
      <c r="K1765" t="str">
        <f>"20240320"</f>
        <v>20240320</v>
      </c>
      <c r="L1765" t="s">
        <v>18</v>
      </c>
      <c r="M1765" t="str">
        <f>"20080521"</f>
        <v>20080521</v>
      </c>
    </row>
    <row r="1766" spans="1:13" x14ac:dyDescent="0.25">
      <c r="A1766" t="str">
        <f>"00213337"</f>
        <v>00213337</v>
      </c>
      <c r="B1766" t="s">
        <v>3881</v>
      </c>
      <c r="C1766" t="s">
        <v>492</v>
      </c>
      <c r="D1766" t="s">
        <v>61</v>
      </c>
      <c r="E1766" t="s">
        <v>16</v>
      </c>
      <c r="F1766" t="s">
        <v>17</v>
      </c>
      <c r="G1766" t="str">
        <f>"02"</f>
        <v>02</v>
      </c>
      <c r="H1766" t="str">
        <f>"7  "</f>
        <v xml:space="preserve">7  </v>
      </c>
      <c r="I1766" t="str">
        <f>"2018/07/18"</f>
        <v>2018/07/18</v>
      </c>
      <c r="J1766" t="str">
        <f>"503"</f>
        <v>503</v>
      </c>
      <c r="K1766" t="s">
        <v>18</v>
      </c>
      <c r="L1766" t="s">
        <v>18</v>
      </c>
      <c r="M1766" t="str">
        <f>"20150129"</f>
        <v>20150129</v>
      </c>
    </row>
    <row r="1767" spans="1:13" x14ac:dyDescent="0.25">
      <c r="A1767" t="str">
        <f>"00373865"</f>
        <v>00373865</v>
      </c>
      <c r="B1767" t="s">
        <v>3884</v>
      </c>
      <c r="C1767" t="s">
        <v>2011</v>
      </c>
      <c r="D1767" t="s">
        <v>51</v>
      </c>
      <c r="E1767" t="s">
        <v>16</v>
      </c>
      <c r="F1767" t="s">
        <v>17</v>
      </c>
      <c r="G1767" t="str">
        <f>"02"</f>
        <v>02</v>
      </c>
      <c r="H1767" t="str">
        <f>"4  "</f>
        <v xml:space="preserve">4  </v>
      </c>
      <c r="I1767" t="str">
        <f>"2017/11/07"</f>
        <v>2017/11/07</v>
      </c>
      <c r="J1767" t="str">
        <f>"534"</f>
        <v>534</v>
      </c>
      <c r="K1767" t="str">
        <f>"20260228"</f>
        <v>20260228</v>
      </c>
      <c r="L1767" t="s">
        <v>18</v>
      </c>
      <c r="M1767" t="str">
        <f>"19970718"</f>
        <v>19970718</v>
      </c>
    </row>
    <row r="1768" spans="1:13" x14ac:dyDescent="0.25">
      <c r="A1768" t="str">
        <f>"00344638"</f>
        <v>00344638</v>
      </c>
      <c r="B1768" t="s">
        <v>3884</v>
      </c>
      <c r="C1768" t="s">
        <v>124</v>
      </c>
      <c r="D1768" t="s">
        <v>37</v>
      </c>
      <c r="E1768" t="s">
        <v>16</v>
      </c>
      <c r="F1768" t="s">
        <v>17</v>
      </c>
      <c r="G1768" t="str">
        <f>"02"</f>
        <v>02</v>
      </c>
      <c r="H1768" t="str">
        <f>"3  "</f>
        <v xml:space="preserve">3  </v>
      </c>
      <c r="I1768" t="str">
        <f>"2013/09/10"</f>
        <v>2013/09/10</v>
      </c>
      <c r="J1768" t="str">
        <f>"510"</f>
        <v>510</v>
      </c>
      <c r="K1768" t="str">
        <f>"20221118"</f>
        <v>20221118</v>
      </c>
      <c r="L1768" t="s">
        <v>18</v>
      </c>
      <c r="M1768" t="str">
        <f>"20120816"</f>
        <v>20120816</v>
      </c>
    </row>
    <row r="1769" spans="1:13" x14ac:dyDescent="0.25">
      <c r="A1769" t="str">
        <f>"00182595"</f>
        <v>00182595</v>
      </c>
      <c r="B1769" t="s">
        <v>3887</v>
      </c>
      <c r="C1769" t="s">
        <v>767</v>
      </c>
      <c r="D1769" t="s">
        <v>53</v>
      </c>
      <c r="E1769" t="s">
        <v>16</v>
      </c>
      <c r="F1769" t="s">
        <v>17</v>
      </c>
      <c r="G1769" t="str">
        <f>"02"</f>
        <v>02</v>
      </c>
      <c r="H1769" t="str">
        <f>"3  "</f>
        <v xml:space="preserve">3  </v>
      </c>
      <c r="I1769" t="str">
        <f>"2016/03/30"</f>
        <v>2016/03/30</v>
      </c>
      <c r="J1769" t="str">
        <f>"510"</f>
        <v>510</v>
      </c>
      <c r="K1769" t="str">
        <f>"20300417"</f>
        <v>20300417</v>
      </c>
      <c r="L1769" t="s">
        <v>18</v>
      </c>
      <c r="M1769" t="str">
        <f>"20140606"</f>
        <v>20140606</v>
      </c>
    </row>
    <row r="1770" spans="1:13" x14ac:dyDescent="0.25">
      <c r="A1770" t="str">
        <f>"00777751"</f>
        <v>00777751</v>
      </c>
      <c r="B1770" t="s">
        <v>3889</v>
      </c>
      <c r="C1770" t="s">
        <v>333</v>
      </c>
      <c r="D1770" t="s">
        <v>26</v>
      </c>
      <c r="E1770" t="s">
        <v>26</v>
      </c>
      <c r="F1770" t="s">
        <v>17</v>
      </c>
      <c r="G1770" t="str">
        <f>"02"</f>
        <v>02</v>
      </c>
      <c r="H1770" t="str">
        <f>"3  "</f>
        <v xml:space="preserve">3  </v>
      </c>
      <c r="I1770" t="str">
        <f>"2016/06/17"</f>
        <v>2016/06/17</v>
      </c>
      <c r="J1770" t="str">
        <f>"110"</f>
        <v>110</v>
      </c>
      <c r="K1770" t="str">
        <f>"20260121"</f>
        <v>20260121</v>
      </c>
      <c r="L1770" t="s">
        <v>18</v>
      </c>
      <c r="M1770" t="str">
        <f>"20150402"</f>
        <v>20150402</v>
      </c>
    </row>
    <row r="1771" spans="1:13" x14ac:dyDescent="0.25">
      <c r="A1771" t="str">
        <f>"00415857"</f>
        <v>00415857</v>
      </c>
      <c r="B1771" t="s">
        <v>3892</v>
      </c>
      <c r="C1771" t="s">
        <v>140</v>
      </c>
      <c r="D1771" t="s">
        <v>47</v>
      </c>
      <c r="E1771" t="s">
        <v>16</v>
      </c>
      <c r="F1771" t="s">
        <v>17</v>
      </c>
      <c r="G1771" t="str">
        <f>"02"</f>
        <v>02</v>
      </c>
      <c r="H1771" t="str">
        <f>"3  "</f>
        <v xml:space="preserve">3  </v>
      </c>
      <c r="I1771" t="str">
        <f>"2013/03/08"</f>
        <v>2013/03/08</v>
      </c>
      <c r="J1771" t="str">
        <f>"534"</f>
        <v>534</v>
      </c>
      <c r="K1771" t="str">
        <f>"20340826"</f>
        <v>20340826</v>
      </c>
      <c r="L1771" t="s">
        <v>18</v>
      </c>
      <c r="M1771" t="str">
        <f>"20110706"</f>
        <v>20110706</v>
      </c>
    </row>
    <row r="1772" spans="1:13" x14ac:dyDescent="0.25">
      <c r="A1772" t="str">
        <f>"00303688"</f>
        <v>00303688</v>
      </c>
      <c r="B1772" t="s">
        <v>3892</v>
      </c>
      <c r="C1772" t="s">
        <v>48</v>
      </c>
      <c r="D1772" t="s">
        <v>40</v>
      </c>
      <c r="E1772" t="s">
        <v>16</v>
      </c>
      <c r="F1772" t="s">
        <v>17</v>
      </c>
      <c r="G1772" t="str">
        <f>"02"</f>
        <v>02</v>
      </c>
      <c r="H1772" t="str">
        <f>"3  "</f>
        <v xml:space="preserve">3  </v>
      </c>
      <c r="I1772" t="str">
        <f>"2019/02/08"</f>
        <v>2019/02/08</v>
      </c>
      <c r="J1772" t="str">
        <f>"510"</f>
        <v>510</v>
      </c>
      <c r="K1772" t="str">
        <f>"20220918"</f>
        <v>20220918</v>
      </c>
      <c r="L1772" t="s">
        <v>18</v>
      </c>
      <c r="M1772" t="str">
        <f>"20160716"</f>
        <v>20160716</v>
      </c>
    </row>
    <row r="1773" spans="1:13" x14ac:dyDescent="0.25">
      <c r="A1773" t="str">
        <f>"00197272"</f>
        <v>00197272</v>
      </c>
      <c r="B1773" t="s">
        <v>3892</v>
      </c>
      <c r="C1773" t="s">
        <v>148</v>
      </c>
      <c r="D1773" t="s">
        <v>25</v>
      </c>
      <c r="E1773" t="s">
        <v>26</v>
      </c>
      <c r="F1773" t="s">
        <v>17</v>
      </c>
      <c r="G1773" t="str">
        <f>"02"</f>
        <v>02</v>
      </c>
      <c r="H1773" t="str">
        <f>"3  "</f>
        <v xml:space="preserve">3  </v>
      </c>
      <c r="I1773" t="str">
        <f>"2003/06/09"</f>
        <v>2003/06/09</v>
      </c>
      <c r="J1773" t="str">
        <f>"503"</f>
        <v>503</v>
      </c>
      <c r="K1773" t="str">
        <f>"20230826"</f>
        <v>20230826</v>
      </c>
      <c r="L1773" t="s">
        <v>18</v>
      </c>
      <c r="M1773" t="str">
        <f>"20021030"</f>
        <v>20021030</v>
      </c>
    </row>
    <row r="1774" spans="1:13" x14ac:dyDescent="0.25">
      <c r="A1774" t="str">
        <f>"00559113"</f>
        <v>00559113</v>
      </c>
      <c r="B1774" t="s">
        <v>3892</v>
      </c>
      <c r="C1774" t="s">
        <v>348</v>
      </c>
      <c r="D1774" t="s">
        <v>47</v>
      </c>
      <c r="E1774" t="s">
        <v>16</v>
      </c>
      <c r="F1774" t="s">
        <v>17</v>
      </c>
      <c r="G1774" t="str">
        <f>"02"</f>
        <v>02</v>
      </c>
      <c r="H1774" t="str">
        <f>"7  "</f>
        <v xml:space="preserve">7  </v>
      </c>
      <c r="I1774" t="str">
        <f>"2008/03/26"</f>
        <v>2008/03/26</v>
      </c>
      <c r="J1774" t="str">
        <f>"510"</f>
        <v>510</v>
      </c>
      <c r="K1774" t="s">
        <v>18</v>
      </c>
      <c r="L1774" t="s">
        <v>18</v>
      </c>
      <c r="M1774" t="str">
        <f>"20051015"</f>
        <v>20051015</v>
      </c>
    </row>
    <row r="1775" spans="1:13" x14ac:dyDescent="0.25">
      <c r="A1775" t="str">
        <f>"00149019"</f>
        <v>00149019</v>
      </c>
      <c r="B1775" t="s">
        <v>3899</v>
      </c>
      <c r="C1775" t="s">
        <v>524</v>
      </c>
      <c r="D1775" t="s">
        <v>37</v>
      </c>
      <c r="E1775" t="s">
        <v>16</v>
      </c>
      <c r="F1775" t="s">
        <v>17</v>
      </c>
      <c r="G1775" t="str">
        <f>"02"</f>
        <v>02</v>
      </c>
      <c r="H1775" t="str">
        <f>"7  "</f>
        <v xml:space="preserve">7  </v>
      </c>
      <c r="I1775" t="str">
        <f>"1984/10/30"</f>
        <v>1984/10/30</v>
      </c>
      <c r="J1775" t="str">
        <f>"820"</f>
        <v>820</v>
      </c>
      <c r="K1775" t="s">
        <v>18</v>
      </c>
      <c r="L1775" t="str">
        <f>"20170819"</f>
        <v>20170819</v>
      </c>
      <c r="M1775" t="str">
        <f>"19770830"</f>
        <v>19770830</v>
      </c>
    </row>
    <row r="1776" spans="1:13" x14ac:dyDescent="0.25">
      <c r="A1776" t="str">
        <f>"00773694"</f>
        <v>00773694</v>
      </c>
      <c r="B1776" t="s">
        <v>3902</v>
      </c>
      <c r="C1776" t="s">
        <v>3903</v>
      </c>
      <c r="D1776" t="s">
        <v>15</v>
      </c>
      <c r="E1776" t="s">
        <v>26</v>
      </c>
      <c r="F1776" t="s">
        <v>17</v>
      </c>
      <c r="G1776" t="str">
        <f>"02"</f>
        <v>02</v>
      </c>
      <c r="H1776" t="str">
        <f>"3  "</f>
        <v xml:space="preserve">3  </v>
      </c>
      <c r="I1776" t="str">
        <f>"2019/12/05"</f>
        <v>2019/12/05</v>
      </c>
      <c r="J1776" t="str">
        <f>"110"</f>
        <v>110</v>
      </c>
      <c r="K1776" t="str">
        <f>"20430811"</f>
        <v>20430811</v>
      </c>
      <c r="L1776" t="s">
        <v>18</v>
      </c>
      <c r="M1776" t="str">
        <f>"20170614"</f>
        <v>20170614</v>
      </c>
    </row>
    <row r="1777" spans="1:13" x14ac:dyDescent="0.25">
      <c r="A1777" t="str">
        <f>"00241461"</f>
        <v>00241461</v>
      </c>
      <c r="B1777" t="s">
        <v>3904</v>
      </c>
      <c r="C1777" t="s">
        <v>3906</v>
      </c>
      <c r="D1777" t="s">
        <v>51</v>
      </c>
      <c r="E1777" t="s">
        <v>26</v>
      </c>
      <c r="F1777" t="s">
        <v>17</v>
      </c>
      <c r="G1777" t="str">
        <f>"02"</f>
        <v>02</v>
      </c>
      <c r="H1777" t="str">
        <f>"7  "</f>
        <v xml:space="preserve">7  </v>
      </c>
      <c r="I1777" t="str">
        <f>"2011/06/30"</f>
        <v>2011/06/30</v>
      </c>
      <c r="J1777" t="str">
        <f>"110"</f>
        <v>110</v>
      </c>
      <c r="K1777" t="s">
        <v>18</v>
      </c>
      <c r="L1777" t="s">
        <v>18</v>
      </c>
      <c r="M1777" t="str">
        <f>"20101218"</f>
        <v>20101218</v>
      </c>
    </row>
    <row r="1778" spans="1:13" x14ac:dyDescent="0.25">
      <c r="A1778" t="str">
        <f>"00620340"</f>
        <v>00620340</v>
      </c>
      <c r="B1778" t="s">
        <v>3904</v>
      </c>
      <c r="C1778" t="s">
        <v>161</v>
      </c>
      <c r="D1778" t="s">
        <v>25</v>
      </c>
      <c r="E1778" t="s">
        <v>26</v>
      </c>
      <c r="F1778" t="s">
        <v>17</v>
      </c>
      <c r="G1778" t="str">
        <f>"02"</f>
        <v>02</v>
      </c>
      <c r="H1778" t="str">
        <f>"3  "</f>
        <v xml:space="preserve">3  </v>
      </c>
      <c r="I1778" t="str">
        <f>"2015/08/24"</f>
        <v>2015/08/24</v>
      </c>
      <c r="J1778" t="str">
        <f>"510"</f>
        <v>510</v>
      </c>
      <c r="K1778" t="str">
        <f>"20210822"</f>
        <v>20210822</v>
      </c>
      <c r="L1778" t="s">
        <v>18</v>
      </c>
      <c r="M1778" t="str">
        <f>"20130723"</f>
        <v>20130723</v>
      </c>
    </row>
    <row r="1779" spans="1:13" x14ac:dyDescent="0.25">
      <c r="A1779" t="str">
        <f>"00532404"</f>
        <v>00532404</v>
      </c>
      <c r="B1779" t="s">
        <v>3904</v>
      </c>
      <c r="C1779" t="s">
        <v>526</v>
      </c>
      <c r="D1779" t="s">
        <v>25</v>
      </c>
      <c r="E1779" t="s">
        <v>26</v>
      </c>
      <c r="F1779" t="s">
        <v>17</v>
      </c>
      <c r="G1779" t="str">
        <f>"02"</f>
        <v>02</v>
      </c>
      <c r="H1779" t="str">
        <f>"3  "</f>
        <v xml:space="preserve">3  </v>
      </c>
      <c r="I1779" t="str">
        <f>"2018/08/28"</f>
        <v>2018/08/28</v>
      </c>
      <c r="J1779" t="str">
        <f>"503"</f>
        <v>503</v>
      </c>
      <c r="K1779" t="str">
        <f>"20290616"</f>
        <v>20290616</v>
      </c>
      <c r="L1779" t="s">
        <v>18</v>
      </c>
      <c r="M1779" t="str">
        <f>"20171101"</f>
        <v>20171101</v>
      </c>
    </row>
    <row r="1780" spans="1:13" x14ac:dyDescent="0.25">
      <c r="A1780" t="str">
        <f>"00599425"</f>
        <v>00599425</v>
      </c>
      <c r="B1780" t="s">
        <v>3908</v>
      </c>
      <c r="C1780" t="s">
        <v>152</v>
      </c>
      <c r="D1780" t="s">
        <v>53</v>
      </c>
      <c r="E1780" t="s">
        <v>26</v>
      </c>
      <c r="F1780" t="s">
        <v>17</v>
      </c>
      <c r="G1780" t="str">
        <f>"02"</f>
        <v>02</v>
      </c>
      <c r="H1780" t="str">
        <f>"7  "</f>
        <v xml:space="preserve">7  </v>
      </c>
      <c r="I1780" t="str">
        <f>"2018/04/13"</f>
        <v>2018/04/13</v>
      </c>
      <c r="J1780" t="str">
        <f>"110"</f>
        <v>110</v>
      </c>
      <c r="K1780" t="s">
        <v>18</v>
      </c>
      <c r="L1780" t="s">
        <v>18</v>
      </c>
      <c r="M1780" t="str">
        <f>"20150923"</f>
        <v>20150923</v>
      </c>
    </row>
    <row r="1781" spans="1:13" x14ac:dyDescent="0.25">
      <c r="A1781" t="str">
        <f>"00372792"</f>
        <v>00372792</v>
      </c>
      <c r="B1781" t="s">
        <v>3908</v>
      </c>
      <c r="C1781" t="s">
        <v>14</v>
      </c>
      <c r="D1781" t="s">
        <v>21</v>
      </c>
      <c r="E1781" t="s">
        <v>26</v>
      </c>
      <c r="F1781" t="s">
        <v>17</v>
      </c>
      <c r="G1781" t="str">
        <f>"02"</f>
        <v>02</v>
      </c>
      <c r="H1781" t="str">
        <f>"3  "</f>
        <v xml:space="preserve">3  </v>
      </c>
      <c r="I1781" t="str">
        <f>"2007/08/02"</f>
        <v>2007/08/02</v>
      </c>
      <c r="J1781" t="str">
        <f>"510"</f>
        <v>510</v>
      </c>
      <c r="K1781" t="str">
        <f>"20271023"</f>
        <v>20271023</v>
      </c>
      <c r="L1781" t="s">
        <v>18</v>
      </c>
      <c r="M1781" t="str">
        <f>"20070312"</f>
        <v>20070312</v>
      </c>
    </row>
    <row r="1782" spans="1:13" x14ac:dyDescent="0.25">
      <c r="A1782" t="str">
        <f>"00168964"</f>
        <v>00168964</v>
      </c>
      <c r="B1782" t="s">
        <v>3908</v>
      </c>
      <c r="C1782" t="s">
        <v>14</v>
      </c>
      <c r="D1782" t="s">
        <v>53</v>
      </c>
      <c r="E1782" t="s">
        <v>26</v>
      </c>
      <c r="F1782" t="s">
        <v>17</v>
      </c>
      <c r="G1782" t="str">
        <f>"02"</f>
        <v>02</v>
      </c>
      <c r="H1782" t="str">
        <f>"3  "</f>
        <v xml:space="preserve">3  </v>
      </c>
      <c r="I1782" t="str">
        <f>"2017/08/17"</f>
        <v>2017/08/17</v>
      </c>
      <c r="J1782" t="str">
        <f>"510"</f>
        <v>510</v>
      </c>
      <c r="K1782" t="str">
        <f>"20291114"</f>
        <v>20291114</v>
      </c>
      <c r="L1782" t="s">
        <v>18</v>
      </c>
      <c r="M1782" t="str">
        <f>"20160808"</f>
        <v>20160808</v>
      </c>
    </row>
    <row r="1783" spans="1:13" x14ac:dyDescent="0.25">
      <c r="A1783" t="str">
        <f>"00394759"</f>
        <v>00394759</v>
      </c>
      <c r="B1783" t="s">
        <v>3908</v>
      </c>
      <c r="C1783" t="s">
        <v>414</v>
      </c>
      <c r="D1783" t="s">
        <v>25</v>
      </c>
      <c r="E1783" t="s">
        <v>26</v>
      </c>
      <c r="F1783" t="s">
        <v>17</v>
      </c>
      <c r="G1783" t="str">
        <f>"02"</f>
        <v>02</v>
      </c>
      <c r="H1783" t="str">
        <f>"3  "</f>
        <v xml:space="preserve">3  </v>
      </c>
      <c r="I1783" t="str">
        <f>"2020/07/21"</f>
        <v>2020/07/21</v>
      </c>
      <c r="J1783" t="str">
        <f>"533"</f>
        <v>533</v>
      </c>
      <c r="K1783" t="str">
        <f>"20260213"</f>
        <v>20260213</v>
      </c>
      <c r="L1783" t="s">
        <v>18</v>
      </c>
      <c r="M1783" t="str">
        <f>"20141118"</f>
        <v>20141118</v>
      </c>
    </row>
    <row r="1784" spans="1:13" x14ac:dyDescent="0.25">
      <c r="A1784" t="str">
        <f>"00591052"</f>
        <v>00591052</v>
      </c>
      <c r="B1784" t="s">
        <v>3908</v>
      </c>
      <c r="C1784" t="s">
        <v>135</v>
      </c>
      <c r="D1784" t="s">
        <v>25</v>
      </c>
      <c r="E1784" t="s">
        <v>26</v>
      </c>
      <c r="F1784" t="s">
        <v>17</v>
      </c>
      <c r="G1784" t="str">
        <f>"02"</f>
        <v>02</v>
      </c>
      <c r="H1784" t="str">
        <f>"3  "</f>
        <v xml:space="preserve">3  </v>
      </c>
      <c r="I1784" t="str">
        <f>"2018/09/04"</f>
        <v>2018/09/04</v>
      </c>
      <c r="J1784" t="str">
        <f>"503"</f>
        <v>503</v>
      </c>
      <c r="K1784" t="str">
        <f>"20220730"</f>
        <v>20220730</v>
      </c>
      <c r="L1784" t="s">
        <v>18</v>
      </c>
      <c r="M1784" t="str">
        <f>"20180320"</f>
        <v>20180320</v>
      </c>
    </row>
    <row r="1785" spans="1:13" x14ac:dyDescent="0.25">
      <c r="A1785" t="str">
        <f>"00645625"</f>
        <v>00645625</v>
      </c>
      <c r="B1785" t="s">
        <v>3908</v>
      </c>
      <c r="C1785" t="s">
        <v>140</v>
      </c>
      <c r="D1785" t="s">
        <v>61</v>
      </c>
      <c r="E1785" t="s">
        <v>26</v>
      </c>
      <c r="F1785" t="s">
        <v>17</v>
      </c>
      <c r="G1785" t="str">
        <f>"02"</f>
        <v>02</v>
      </c>
      <c r="H1785" t="str">
        <f>"3  "</f>
        <v xml:space="preserve">3  </v>
      </c>
      <c r="I1785" t="str">
        <f>"2009/06/23"</f>
        <v>2009/06/23</v>
      </c>
      <c r="J1785" t="str">
        <f>"110"</f>
        <v>110</v>
      </c>
      <c r="K1785" t="str">
        <f>"20210306"</f>
        <v>20210306</v>
      </c>
      <c r="L1785" t="s">
        <v>18</v>
      </c>
      <c r="M1785" t="str">
        <f>"20060804"</f>
        <v>20060804</v>
      </c>
    </row>
    <row r="1786" spans="1:13" x14ac:dyDescent="0.25">
      <c r="A1786" t="str">
        <f>"00536956"</f>
        <v>00536956</v>
      </c>
      <c r="B1786" t="s">
        <v>3908</v>
      </c>
      <c r="C1786" t="s">
        <v>936</v>
      </c>
      <c r="D1786" t="s">
        <v>15</v>
      </c>
      <c r="E1786" t="s">
        <v>26</v>
      </c>
      <c r="F1786" t="s">
        <v>17</v>
      </c>
      <c r="G1786" t="str">
        <f>"02"</f>
        <v>02</v>
      </c>
      <c r="H1786" t="str">
        <f>"3  "</f>
        <v xml:space="preserve">3  </v>
      </c>
      <c r="I1786" t="str">
        <f>"2016/01/20"</f>
        <v>2016/01/20</v>
      </c>
      <c r="J1786" t="str">
        <f>"110"</f>
        <v>110</v>
      </c>
      <c r="K1786" t="str">
        <f>"20241008"</f>
        <v>20241008</v>
      </c>
      <c r="L1786" t="s">
        <v>18</v>
      </c>
      <c r="M1786" t="str">
        <f>"20150927"</f>
        <v>20150927</v>
      </c>
    </row>
    <row r="1787" spans="1:13" x14ac:dyDescent="0.25">
      <c r="A1787" t="str">
        <f>"00459087"</f>
        <v>00459087</v>
      </c>
      <c r="B1787" t="s">
        <v>3908</v>
      </c>
      <c r="C1787" t="s">
        <v>599</v>
      </c>
      <c r="D1787" t="s">
        <v>51</v>
      </c>
      <c r="E1787" t="s">
        <v>26</v>
      </c>
      <c r="F1787" t="s">
        <v>17</v>
      </c>
      <c r="G1787" t="str">
        <f>"02"</f>
        <v>02</v>
      </c>
      <c r="H1787" t="str">
        <f>"3  "</f>
        <v xml:space="preserve">3  </v>
      </c>
      <c r="I1787" t="str">
        <f>"2019/10/25"</f>
        <v>2019/10/25</v>
      </c>
      <c r="J1787" t="str">
        <f>"510"</f>
        <v>510</v>
      </c>
      <c r="K1787" t="str">
        <f>"20611027"</f>
        <v>20611027</v>
      </c>
      <c r="L1787" t="s">
        <v>18</v>
      </c>
      <c r="M1787" t="str">
        <f>"20171025"</f>
        <v>20171025</v>
      </c>
    </row>
    <row r="1788" spans="1:13" x14ac:dyDescent="0.25">
      <c r="A1788" t="str">
        <f>"00651459"</f>
        <v>00651459</v>
      </c>
      <c r="B1788" t="s">
        <v>3908</v>
      </c>
      <c r="C1788" t="s">
        <v>96</v>
      </c>
      <c r="D1788" t="s">
        <v>15</v>
      </c>
      <c r="E1788" t="s">
        <v>26</v>
      </c>
      <c r="F1788" t="s">
        <v>17</v>
      </c>
      <c r="G1788" t="str">
        <f>"02"</f>
        <v>02</v>
      </c>
      <c r="H1788" t="str">
        <f>"3  "</f>
        <v xml:space="preserve">3  </v>
      </c>
      <c r="I1788" t="str">
        <f>"2018/09/04"</f>
        <v>2018/09/04</v>
      </c>
      <c r="J1788" t="str">
        <f>"503"</f>
        <v>503</v>
      </c>
      <c r="K1788" t="str">
        <f>"20220207"</f>
        <v>20220207</v>
      </c>
      <c r="L1788" t="s">
        <v>18</v>
      </c>
      <c r="M1788" t="str">
        <f>"20171030"</f>
        <v>20171030</v>
      </c>
    </row>
    <row r="1789" spans="1:13" x14ac:dyDescent="0.25">
      <c r="A1789" t="str">
        <f>"00365073"</f>
        <v>00365073</v>
      </c>
      <c r="B1789" t="s">
        <v>3908</v>
      </c>
      <c r="C1789" t="s">
        <v>22</v>
      </c>
      <c r="D1789" t="s">
        <v>37</v>
      </c>
      <c r="E1789" t="s">
        <v>16</v>
      </c>
      <c r="F1789" t="s">
        <v>17</v>
      </c>
      <c r="G1789" t="str">
        <f>"02"</f>
        <v>02</v>
      </c>
      <c r="H1789" t="str">
        <f>"7  "</f>
        <v xml:space="preserve">7  </v>
      </c>
      <c r="I1789" t="str">
        <f>"2018/05/18"</f>
        <v>2018/05/18</v>
      </c>
      <c r="J1789" t="str">
        <f>"110"</f>
        <v>110</v>
      </c>
      <c r="K1789" t="s">
        <v>18</v>
      </c>
      <c r="L1789" t="s">
        <v>18</v>
      </c>
      <c r="M1789" t="str">
        <f>"20170331"</f>
        <v>20170331</v>
      </c>
    </row>
    <row r="1790" spans="1:13" x14ac:dyDescent="0.25">
      <c r="A1790" t="str">
        <f>"00185152"</f>
        <v>00185152</v>
      </c>
      <c r="B1790" t="s">
        <v>3916</v>
      </c>
      <c r="C1790" t="s">
        <v>3917</v>
      </c>
      <c r="D1790" t="s">
        <v>51</v>
      </c>
      <c r="E1790" t="s">
        <v>26</v>
      </c>
      <c r="F1790" t="s">
        <v>17</v>
      </c>
      <c r="G1790" t="str">
        <f>"02"</f>
        <v>02</v>
      </c>
      <c r="H1790" t="str">
        <f>"3  "</f>
        <v xml:space="preserve">3  </v>
      </c>
      <c r="I1790" t="str">
        <f>"2013/09/06"</f>
        <v>2013/09/06</v>
      </c>
      <c r="J1790" t="str">
        <f>"510"</f>
        <v>510</v>
      </c>
      <c r="K1790" t="str">
        <f>"20411209"</f>
        <v>20411209</v>
      </c>
      <c r="L1790" t="s">
        <v>18</v>
      </c>
      <c r="M1790" t="str">
        <f>"20111020"</f>
        <v>20111020</v>
      </c>
    </row>
    <row r="1791" spans="1:13" x14ac:dyDescent="0.25">
      <c r="A1791" t="str">
        <f>"00169664"</f>
        <v>00169664</v>
      </c>
      <c r="B1791" t="s">
        <v>3918</v>
      </c>
      <c r="C1791" t="s">
        <v>426</v>
      </c>
      <c r="D1791" t="s">
        <v>91</v>
      </c>
      <c r="E1791" t="s">
        <v>16</v>
      </c>
      <c r="F1791" t="s">
        <v>17</v>
      </c>
      <c r="G1791" t="str">
        <f>"02"</f>
        <v>02</v>
      </c>
      <c r="H1791" t="str">
        <f>"7  "</f>
        <v xml:space="preserve">7  </v>
      </c>
      <c r="I1791" t="str">
        <f>"2001/10/11"</f>
        <v>2001/10/11</v>
      </c>
      <c r="J1791" t="str">
        <f>"503"</f>
        <v>503</v>
      </c>
      <c r="K1791" t="s">
        <v>18</v>
      </c>
      <c r="L1791" t="str">
        <f>"20180212"</f>
        <v>20180212</v>
      </c>
      <c r="M1791" t="str">
        <f>"19890315"</f>
        <v>19890315</v>
      </c>
    </row>
    <row r="1792" spans="1:13" x14ac:dyDescent="0.25">
      <c r="A1792" t="str">
        <f>"00148620"</f>
        <v>00148620</v>
      </c>
      <c r="B1792" t="s">
        <v>3927</v>
      </c>
      <c r="C1792" t="s">
        <v>2134</v>
      </c>
      <c r="D1792" t="s">
        <v>15</v>
      </c>
      <c r="E1792" t="s">
        <v>26</v>
      </c>
      <c r="F1792" t="s">
        <v>17</v>
      </c>
      <c r="G1792" t="str">
        <f>"02"</f>
        <v>02</v>
      </c>
      <c r="H1792" t="str">
        <f>"7  "</f>
        <v xml:space="preserve">7  </v>
      </c>
      <c r="I1792" t="str">
        <f>"1987/04/27"</f>
        <v>1987/04/27</v>
      </c>
      <c r="J1792" t="str">
        <f>"510"</f>
        <v>510</v>
      </c>
      <c r="K1792" t="s">
        <v>18</v>
      </c>
      <c r="L1792" t="s">
        <v>18</v>
      </c>
      <c r="M1792" t="str">
        <f>"19860225"</f>
        <v>19860225</v>
      </c>
    </row>
    <row r="1793" spans="1:13" x14ac:dyDescent="0.25">
      <c r="A1793" t="str">
        <f>"00217986"</f>
        <v>00217986</v>
      </c>
      <c r="B1793" t="s">
        <v>3928</v>
      </c>
      <c r="C1793" t="s">
        <v>3929</v>
      </c>
      <c r="D1793" t="s">
        <v>107</v>
      </c>
      <c r="E1793" t="s">
        <v>26</v>
      </c>
      <c r="F1793" t="s">
        <v>17</v>
      </c>
      <c r="G1793" t="str">
        <f>"02"</f>
        <v>02</v>
      </c>
      <c r="H1793" t="str">
        <f>"3  "</f>
        <v xml:space="preserve">3  </v>
      </c>
      <c r="I1793" t="str">
        <f>"2019/08/29"</f>
        <v>2019/08/29</v>
      </c>
      <c r="J1793" t="str">
        <f>"110"</f>
        <v>110</v>
      </c>
      <c r="K1793" t="str">
        <f>"20220215"</f>
        <v>20220215</v>
      </c>
      <c r="L1793" t="s">
        <v>18</v>
      </c>
      <c r="M1793" t="str">
        <f>"20181014"</f>
        <v>20181014</v>
      </c>
    </row>
    <row r="1794" spans="1:13" x14ac:dyDescent="0.25">
      <c r="A1794" t="str">
        <f>"00828703"</f>
        <v>00828703</v>
      </c>
      <c r="B1794" t="s">
        <v>3930</v>
      </c>
      <c r="C1794" t="s">
        <v>251</v>
      </c>
      <c r="D1794" t="s">
        <v>45</v>
      </c>
      <c r="E1794" t="s">
        <v>16</v>
      </c>
      <c r="F1794" t="s">
        <v>17</v>
      </c>
      <c r="G1794" t="str">
        <f>"02"</f>
        <v>02</v>
      </c>
      <c r="H1794" t="str">
        <f>"3  "</f>
        <v xml:space="preserve">3  </v>
      </c>
      <c r="I1794" t="str">
        <f>"2016/11/02"</f>
        <v>2016/11/02</v>
      </c>
      <c r="J1794" t="str">
        <f>"110"</f>
        <v>110</v>
      </c>
      <c r="K1794" t="str">
        <f>"20290703"</f>
        <v>20290703</v>
      </c>
      <c r="L1794" t="s">
        <v>18</v>
      </c>
      <c r="M1794" t="str">
        <f>"20160604"</f>
        <v>20160604</v>
      </c>
    </row>
    <row r="1795" spans="1:13" x14ac:dyDescent="0.25">
      <c r="A1795" t="str">
        <f>"00619078"</f>
        <v>00619078</v>
      </c>
      <c r="B1795" t="s">
        <v>3932</v>
      </c>
      <c r="C1795" t="s">
        <v>878</v>
      </c>
      <c r="D1795" t="s">
        <v>51</v>
      </c>
      <c r="E1795" t="s">
        <v>26</v>
      </c>
      <c r="F1795" t="s">
        <v>17</v>
      </c>
      <c r="G1795" t="str">
        <f>"02"</f>
        <v>02</v>
      </c>
      <c r="H1795" t="str">
        <f>"3  "</f>
        <v xml:space="preserve">3  </v>
      </c>
      <c r="I1795" t="str">
        <f>"2020/09/02"</f>
        <v>2020/09/02</v>
      </c>
      <c r="J1795" t="str">
        <f>"533"</f>
        <v>533</v>
      </c>
      <c r="K1795" t="str">
        <f>"20300330"</f>
        <v>20300330</v>
      </c>
      <c r="L1795" t="s">
        <v>18</v>
      </c>
      <c r="M1795" t="str">
        <f>"20080518"</f>
        <v>20080518</v>
      </c>
    </row>
    <row r="1796" spans="1:13" x14ac:dyDescent="0.25">
      <c r="A1796" t="str">
        <f>"00351156"</f>
        <v>00351156</v>
      </c>
      <c r="B1796" t="s">
        <v>3933</v>
      </c>
      <c r="C1796" t="s">
        <v>1352</v>
      </c>
      <c r="D1796" t="s">
        <v>25</v>
      </c>
      <c r="E1796" t="s">
        <v>26</v>
      </c>
      <c r="F1796" t="s">
        <v>17</v>
      </c>
      <c r="G1796" t="str">
        <f>"02"</f>
        <v>02</v>
      </c>
      <c r="H1796" t="str">
        <f>"3  "</f>
        <v xml:space="preserve">3  </v>
      </c>
      <c r="I1796" t="str">
        <f>"2014/12/12"</f>
        <v>2014/12/12</v>
      </c>
      <c r="J1796" t="str">
        <f>"510"</f>
        <v>510</v>
      </c>
      <c r="K1796" t="str">
        <f>"20210806"</f>
        <v>20210806</v>
      </c>
      <c r="L1796" t="s">
        <v>18</v>
      </c>
      <c r="M1796" t="str">
        <f>"20121015"</f>
        <v>20121015</v>
      </c>
    </row>
    <row r="1797" spans="1:13" x14ac:dyDescent="0.25">
      <c r="A1797" t="str">
        <f>"00271467"</f>
        <v>00271467</v>
      </c>
      <c r="B1797" t="s">
        <v>3934</v>
      </c>
      <c r="C1797" t="s">
        <v>96</v>
      </c>
      <c r="D1797" t="s">
        <v>51</v>
      </c>
      <c r="E1797" t="s">
        <v>16</v>
      </c>
      <c r="F1797" t="s">
        <v>17</v>
      </c>
      <c r="G1797" t="str">
        <f>"02"</f>
        <v>02</v>
      </c>
      <c r="H1797" t="str">
        <f>"3  "</f>
        <v xml:space="preserve">3  </v>
      </c>
      <c r="I1797" t="str">
        <f>"2014/09/29"</f>
        <v>2014/09/29</v>
      </c>
      <c r="J1797" t="str">
        <f>"110"</f>
        <v>110</v>
      </c>
      <c r="K1797" t="str">
        <f>"20210711"</f>
        <v>20210711</v>
      </c>
      <c r="L1797" t="s">
        <v>18</v>
      </c>
      <c r="M1797" t="str">
        <f>"20140505"</f>
        <v>20140505</v>
      </c>
    </row>
    <row r="1798" spans="1:13" x14ac:dyDescent="0.25">
      <c r="A1798" t="str">
        <f>"00373090"</f>
        <v>00373090</v>
      </c>
      <c r="B1798" t="s">
        <v>3939</v>
      </c>
      <c r="C1798" t="s">
        <v>169</v>
      </c>
      <c r="D1798" t="s">
        <v>40</v>
      </c>
      <c r="E1798" t="s">
        <v>16</v>
      </c>
      <c r="F1798" t="s">
        <v>17</v>
      </c>
      <c r="G1798" t="str">
        <f>"02"</f>
        <v>02</v>
      </c>
      <c r="H1798" t="str">
        <f>"3  "</f>
        <v xml:space="preserve">3  </v>
      </c>
      <c r="I1798" t="str">
        <f>"2015/02/02"</f>
        <v>2015/02/02</v>
      </c>
      <c r="J1798" t="str">
        <f>"503"</f>
        <v>503</v>
      </c>
      <c r="K1798" t="str">
        <f>"20241007"</f>
        <v>20241007</v>
      </c>
      <c r="L1798" t="s">
        <v>18</v>
      </c>
      <c r="M1798" t="str">
        <f>"20140529"</f>
        <v>20140529</v>
      </c>
    </row>
    <row r="1799" spans="1:13" x14ac:dyDescent="0.25">
      <c r="A1799" t="str">
        <f>"00448773"</f>
        <v>00448773</v>
      </c>
      <c r="B1799" t="s">
        <v>3940</v>
      </c>
      <c r="C1799" t="s">
        <v>135</v>
      </c>
      <c r="D1799" t="s">
        <v>1212</v>
      </c>
      <c r="E1799" t="s">
        <v>16</v>
      </c>
      <c r="F1799" t="s">
        <v>17</v>
      </c>
      <c r="G1799" t="str">
        <f>"02"</f>
        <v>02</v>
      </c>
      <c r="H1799" t="str">
        <f>"3  "</f>
        <v xml:space="preserve">3  </v>
      </c>
      <c r="I1799" t="str">
        <f>"2014/09/24"</f>
        <v>2014/09/24</v>
      </c>
      <c r="J1799" t="str">
        <f>"510"</f>
        <v>510</v>
      </c>
      <c r="K1799" t="str">
        <f>"20230609"</f>
        <v>20230609</v>
      </c>
      <c r="L1799" t="s">
        <v>18</v>
      </c>
      <c r="M1799" t="str">
        <f>"20121015"</f>
        <v>20121015</v>
      </c>
    </row>
    <row r="1800" spans="1:13" x14ac:dyDescent="0.25">
      <c r="A1800" t="str">
        <f>"00566550"</f>
        <v>00566550</v>
      </c>
      <c r="B1800" t="s">
        <v>3940</v>
      </c>
      <c r="C1800" t="s">
        <v>118</v>
      </c>
      <c r="D1800" t="s">
        <v>61</v>
      </c>
      <c r="E1800" t="s">
        <v>26</v>
      </c>
      <c r="F1800" t="s">
        <v>17</v>
      </c>
      <c r="G1800" t="str">
        <f>"02"</f>
        <v>02</v>
      </c>
      <c r="H1800" t="str">
        <f>"3  "</f>
        <v xml:space="preserve">3  </v>
      </c>
      <c r="I1800" t="str">
        <f>"2009/09/15"</f>
        <v>2009/09/15</v>
      </c>
      <c r="J1800" t="str">
        <f>"503"</f>
        <v>503</v>
      </c>
      <c r="K1800" t="str">
        <f>"20201122"</f>
        <v>20201122</v>
      </c>
      <c r="L1800" t="s">
        <v>18</v>
      </c>
      <c r="M1800" t="str">
        <f>"20080915"</f>
        <v>20080915</v>
      </c>
    </row>
    <row r="1801" spans="1:13" x14ac:dyDescent="0.25">
      <c r="A1801" t="str">
        <f>"00206709"</f>
        <v>00206709</v>
      </c>
      <c r="B1801" t="s">
        <v>3940</v>
      </c>
      <c r="C1801" t="s">
        <v>3942</v>
      </c>
      <c r="D1801" t="s">
        <v>31</v>
      </c>
      <c r="E1801" t="s">
        <v>26</v>
      </c>
      <c r="F1801" t="s">
        <v>17</v>
      </c>
      <c r="G1801" t="str">
        <f>"02"</f>
        <v>02</v>
      </c>
      <c r="H1801" t="str">
        <f>"3  "</f>
        <v xml:space="preserve">3  </v>
      </c>
      <c r="I1801" t="str">
        <f>"2011/01/31"</f>
        <v>2011/01/31</v>
      </c>
      <c r="J1801" t="str">
        <f>"110"</f>
        <v>110</v>
      </c>
      <c r="K1801" t="str">
        <f>"20321020"</f>
        <v>20321020</v>
      </c>
      <c r="L1801" t="s">
        <v>18</v>
      </c>
      <c r="M1801" t="str">
        <f>"20100626"</f>
        <v>20100626</v>
      </c>
    </row>
    <row r="1802" spans="1:13" x14ac:dyDescent="0.25">
      <c r="A1802" t="str">
        <f>"00173211"</f>
        <v>00173211</v>
      </c>
      <c r="B1802" t="s">
        <v>3940</v>
      </c>
      <c r="C1802" t="s">
        <v>136</v>
      </c>
      <c r="D1802" t="s">
        <v>40</v>
      </c>
      <c r="E1802" t="s">
        <v>26</v>
      </c>
      <c r="F1802" t="s">
        <v>17</v>
      </c>
      <c r="G1802" t="str">
        <f>"02"</f>
        <v>02</v>
      </c>
      <c r="H1802" t="str">
        <f>"3  "</f>
        <v xml:space="preserve">3  </v>
      </c>
      <c r="I1802" t="str">
        <f>"2001/05/08"</f>
        <v>2001/05/08</v>
      </c>
      <c r="J1802" t="str">
        <f>"510"</f>
        <v>510</v>
      </c>
      <c r="K1802" t="str">
        <f>"20220725"</f>
        <v>20220725</v>
      </c>
      <c r="L1802" t="s">
        <v>18</v>
      </c>
      <c r="M1802" t="str">
        <f>"19990401"</f>
        <v>19990401</v>
      </c>
    </row>
    <row r="1803" spans="1:13" x14ac:dyDescent="0.25">
      <c r="A1803" t="str">
        <f>"00799026"</f>
        <v>00799026</v>
      </c>
      <c r="B1803" t="s">
        <v>3940</v>
      </c>
      <c r="C1803" t="s">
        <v>3943</v>
      </c>
      <c r="D1803" t="s">
        <v>80</v>
      </c>
      <c r="E1803" t="s">
        <v>26</v>
      </c>
      <c r="F1803" t="s">
        <v>17</v>
      </c>
      <c r="G1803" t="str">
        <f>"02"</f>
        <v>02</v>
      </c>
      <c r="H1803" t="str">
        <f>"3  "</f>
        <v xml:space="preserve">3  </v>
      </c>
      <c r="I1803" t="str">
        <f>"2019/08/02"</f>
        <v>2019/08/02</v>
      </c>
      <c r="J1803" t="str">
        <f>"510"</f>
        <v>510</v>
      </c>
      <c r="K1803" t="str">
        <f>"20270912"</f>
        <v>20270912</v>
      </c>
      <c r="L1803" t="s">
        <v>18</v>
      </c>
      <c r="M1803" t="str">
        <f>"20180828"</f>
        <v>20180828</v>
      </c>
    </row>
    <row r="1804" spans="1:13" x14ac:dyDescent="0.25">
      <c r="A1804" t="str">
        <f>"00291249"</f>
        <v>00291249</v>
      </c>
      <c r="B1804" t="s">
        <v>3940</v>
      </c>
      <c r="C1804" t="s">
        <v>148</v>
      </c>
      <c r="D1804" t="s">
        <v>26</v>
      </c>
      <c r="E1804" t="s">
        <v>26</v>
      </c>
      <c r="F1804" t="s">
        <v>17</v>
      </c>
      <c r="G1804" t="str">
        <f>"02"</f>
        <v>02</v>
      </c>
      <c r="H1804" t="str">
        <f>"3  "</f>
        <v xml:space="preserve">3  </v>
      </c>
      <c r="I1804" t="str">
        <f>"2018/09/05"</f>
        <v>2018/09/05</v>
      </c>
      <c r="J1804" t="str">
        <f>"503"</f>
        <v>503</v>
      </c>
      <c r="K1804" t="str">
        <f>"20210529"</f>
        <v>20210529</v>
      </c>
      <c r="L1804" t="s">
        <v>18</v>
      </c>
      <c r="M1804" t="str">
        <f>"20170103"</f>
        <v>20170103</v>
      </c>
    </row>
    <row r="1805" spans="1:13" x14ac:dyDescent="0.25">
      <c r="A1805" t="str">
        <f>"00549621"</f>
        <v>00549621</v>
      </c>
      <c r="B1805" t="s">
        <v>3940</v>
      </c>
      <c r="C1805" t="s">
        <v>3944</v>
      </c>
      <c r="D1805" t="s">
        <v>40</v>
      </c>
      <c r="E1805" t="s">
        <v>26</v>
      </c>
      <c r="F1805" t="s">
        <v>17</v>
      </c>
      <c r="G1805" t="str">
        <f>"02"</f>
        <v>02</v>
      </c>
      <c r="H1805" t="str">
        <f>"0  "</f>
        <v xml:space="preserve">0  </v>
      </c>
      <c r="I1805" t="str">
        <f>"2020/08/10"</f>
        <v>2020/08/10</v>
      </c>
      <c r="J1805" t="str">
        <f>"510"</f>
        <v>510</v>
      </c>
      <c r="K1805" t="s">
        <v>18</v>
      </c>
      <c r="L1805" t="s">
        <v>18</v>
      </c>
      <c r="M1805" t="s">
        <v>18</v>
      </c>
    </row>
    <row r="1806" spans="1:13" x14ac:dyDescent="0.25">
      <c r="A1806" t="str">
        <f>"00660887"</f>
        <v>00660887</v>
      </c>
      <c r="B1806" t="s">
        <v>3940</v>
      </c>
      <c r="C1806" t="s">
        <v>3946</v>
      </c>
      <c r="D1806" t="s">
        <v>40</v>
      </c>
      <c r="E1806" t="s">
        <v>26</v>
      </c>
      <c r="F1806" t="s">
        <v>17</v>
      </c>
      <c r="G1806" t="str">
        <f>"02"</f>
        <v>02</v>
      </c>
      <c r="H1806" t="str">
        <f>"3  "</f>
        <v xml:space="preserve">3  </v>
      </c>
      <c r="I1806" t="str">
        <f>"2018/02/28"</f>
        <v>2018/02/28</v>
      </c>
      <c r="J1806" t="str">
        <f>"110"</f>
        <v>110</v>
      </c>
      <c r="K1806" t="str">
        <f>"20221126"</f>
        <v>20221126</v>
      </c>
      <c r="L1806" t="s">
        <v>18</v>
      </c>
      <c r="M1806" t="str">
        <f>"20170628"</f>
        <v>20170628</v>
      </c>
    </row>
    <row r="1807" spans="1:13" x14ac:dyDescent="0.25">
      <c r="A1807" t="str">
        <f>"00393084"</f>
        <v>00393084</v>
      </c>
      <c r="B1807" t="s">
        <v>3940</v>
      </c>
      <c r="C1807" t="s">
        <v>3947</v>
      </c>
      <c r="D1807" t="s">
        <v>40</v>
      </c>
      <c r="E1807" t="s">
        <v>26</v>
      </c>
      <c r="F1807" t="s">
        <v>17</v>
      </c>
      <c r="G1807" t="str">
        <f>"02"</f>
        <v>02</v>
      </c>
      <c r="H1807" t="str">
        <f>"3  "</f>
        <v xml:space="preserve">3  </v>
      </c>
      <c r="I1807" t="str">
        <f>"2017/07/07"</f>
        <v>2017/07/07</v>
      </c>
      <c r="J1807" t="str">
        <f>"110"</f>
        <v>110</v>
      </c>
      <c r="K1807" t="str">
        <f>"20201128"</f>
        <v>20201128</v>
      </c>
      <c r="L1807" t="s">
        <v>18</v>
      </c>
      <c r="M1807" t="str">
        <f>"20160815"</f>
        <v>20160815</v>
      </c>
    </row>
    <row r="1808" spans="1:13" x14ac:dyDescent="0.25">
      <c r="A1808" t="str">
        <f>"00199687"</f>
        <v>00199687</v>
      </c>
      <c r="B1808" t="s">
        <v>3940</v>
      </c>
      <c r="C1808" t="s">
        <v>938</v>
      </c>
      <c r="D1808" t="s">
        <v>25</v>
      </c>
      <c r="E1808" t="s">
        <v>26</v>
      </c>
      <c r="F1808" t="s">
        <v>17</v>
      </c>
      <c r="G1808" t="str">
        <f>"02"</f>
        <v>02</v>
      </c>
      <c r="H1808" t="str">
        <f>"3  "</f>
        <v xml:space="preserve">3  </v>
      </c>
      <c r="I1808" t="str">
        <f>"2020/07/08"</f>
        <v>2020/07/08</v>
      </c>
      <c r="J1808" t="str">
        <f>"503"</f>
        <v>503</v>
      </c>
      <c r="K1808" t="str">
        <f>"20220207"</f>
        <v>20220207</v>
      </c>
      <c r="L1808" t="s">
        <v>18</v>
      </c>
      <c r="M1808" t="str">
        <f>"20191027"</f>
        <v>20191027</v>
      </c>
    </row>
    <row r="1809" spans="1:13" x14ac:dyDescent="0.25">
      <c r="A1809" t="str">
        <f>"00427450"</f>
        <v>00427450</v>
      </c>
      <c r="B1809" t="s">
        <v>3940</v>
      </c>
      <c r="C1809" t="s">
        <v>327</v>
      </c>
      <c r="D1809" t="s">
        <v>21</v>
      </c>
      <c r="E1809" t="s">
        <v>26</v>
      </c>
      <c r="F1809" t="s">
        <v>17</v>
      </c>
      <c r="G1809" t="str">
        <f>"02"</f>
        <v>02</v>
      </c>
      <c r="H1809" t="str">
        <f>"7  "</f>
        <v xml:space="preserve">7  </v>
      </c>
      <c r="I1809" t="str">
        <f>"2001/10/22"</f>
        <v>2001/10/22</v>
      </c>
      <c r="J1809" t="str">
        <f>"510"</f>
        <v>510</v>
      </c>
      <c r="K1809" t="s">
        <v>18</v>
      </c>
      <c r="L1809" t="s">
        <v>18</v>
      </c>
      <c r="M1809" t="str">
        <f>"19991208"</f>
        <v>19991208</v>
      </c>
    </row>
    <row r="1810" spans="1:13" x14ac:dyDescent="0.25">
      <c r="A1810" t="str">
        <f>"00182481"</f>
        <v>00182481</v>
      </c>
      <c r="B1810" t="s">
        <v>3940</v>
      </c>
      <c r="C1810" t="s">
        <v>72</v>
      </c>
      <c r="D1810" t="s">
        <v>51</v>
      </c>
      <c r="E1810" t="s">
        <v>26</v>
      </c>
      <c r="F1810" t="s">
        <v>17</v>
      </c>
      <c r="G1810" t="str">
        <f>"02"</f>
        <v>02</v>
      </c>
      <c r="H1810" t="str">
        <f>"3  "</f>
        <v xml:space="preserve">3  </v>
      </c>
      <c r="I1810" t="str">
        <f>"2014/07/23"</f>
        <v>2014/07/23</v>
      </c>
      <c r="J1810" t="str">
        <f>"510"</f>
        <v>510</v>
      </c>
      <c r="K1810" t="str">
        <f>"20340221"</f>
        <v>20340221</v>
      </c>
      <c r="L1810" t="s">
        <v>18</v>
      </c>
      <c r="M1810" t="str">
        <f>"20130522"</f>
        <v>20130522</v>
      </c>
    </row>
    <row r="1811" spans="1:13" x14ac:dyDescent="0.25">
      <c r="A1811" t="str">
        <f>"00456641"</f>
        <v>00456641</v>
      </c>
      <c r="B1811" t="s">
        <v>3940</v>
      </c>
      <c r="C1811" t="s">
        <v>3948</v>
      </c>
      <c r="D1811" t="s">
        <v>21</v>
      </c>
      <c r="E1811" t="s">
        <v>26</v>
      </c>
      <c r="F1811" t="s">
        <v>17</v>
      </c>
      <c r="G1811" t="str">
        <f>"02"</f>
        <v>02</v>
      </c>
      <c r="H1811" t="str">
        <f>"3  "</f>
        <v xml:space="preserve">3  </v>
      </c>
      <c r="I1811" t="str">
        <f>"2007/12/17"</f>
        <v>2007/12/17</v>
      </c>
      <c r="J1811" t="str">
        <f>"110"</f>
        <v>110</v>
      </c>
      <c r="K1811" t="str">
        <f>"20310530"</f>
        <v>20310530</v>
      </c>
      <c r="L1811" t="s">
        <v>18</v>
      </c>
      <c r="M1811" t="str">
        <f>"20061128"</f>
        <v>20061128</v>
      </c>
    </row>
    <row r="1812" spans="1:13" x14ac:dyDescent="0.25">
      <c r="A1812" t="str">
        <f>"00117379"</f>
        <v>00117379</v>
      </c>
      <c r="B1812" t="s">
        <v>3940</v>
      </c>
      <c r="C1812" t="s">
        <v>555</v>
      </c>
      <c r="D1812" t="s">
        <v>47</v>
      </c>
      <c r="E1812" t="s">
        <v>26</v>
      </c>
      <c r="F1812" t="s">
        <v>17</v>
      </c>
      <c r="G1812" t="str">
        <f>"02"</f>
        <v>02</v>
      </c>
      <c r="H1812" t="str">
        <f>"7  "</f>
        <v xml:space="preserve">7  </v>
      </c>
      <c r="I1812" t="str">
        <f>"2017/04/07"</f>
        <v>2017/04/07</v>
      </c>
      <c r="J1812" t="str">
        <f>"510"</f>
        <v>510</v>
      </c>
      <c r="K1812" t="s">
        <v>18</v>
      </c>
      <c r="L1812" t="s">
        <v>18</v>
      </c>
      <c r="M1812" t="str">
        <f>"19830202"</f>
        <v>19830202</v>
      </c>
    </row>
    <row r="1813" spans="1:13" x14ac:dyDescent="0.25">
      <c r="A1813" t="str">
        <f>"00245835"</f>
        <v>00245835</v>
      </c>
      <c r="B1813" t="s">
        <v>3940</v>
      </c>
      <c r="C1813" t="s">
        <v>22</v>
      </c>
      <c r="D1813" t="s">
        <v>61</v>
      </c>
      <c r="E1813" t="s">
        <v>16</v>
      </c>
      <c r="F1813" t="s">
        <v>17</v>
      </c>
      <c r="G1813" t="str">
        <f>"02"</f>
        <v>02</v>
      </c>
      <c r="H1813" t="str">
        <f>"3  "</f>
        <v xml:space="preserve">3  </v>
      </c>
      <c r="I1813" t="str">
        <f>"2018/10/12"</f>
        <v>2018/10/12</v>
      </c>
      <c r="J1813" t="str">
        <f>"510"</f>
        <v>510</v>
      </c>
      <c r="K1813" t="str">
        <f>"20310701"</f>
        <v>20310701</v>
      </c>
      <c r="L1813" t="s">
        <v>18</v>
      </c>
      <c r="M1813" t="str">
        <f>"20170201"</f>
        <v>20170201</v>
      </c>
    </row>
    <row r="1814" spans="1:13" x14ac:dyDescent="0.25">
      <c r="A1814" t="str">
        <f>"00570789"</f>
        <v>00570789</v>
      </c>
      <c r="B1814" t="s">
        <v>3940</v>
      </c>
      <c r="C1814" t="s">
        <v>3953</v>
      </c>
      <c r="D1814" t="s">
        <v>25</v>
      </c>
      <c r="E1814" t="s">
        <v>26</v>
      </c>
      <c r="F1814" t="s">
        <v>17</v>
      </c>
      <c r="G1814" t="str">
        <f>"02"</f>
        <v>02</v>
      </c>
      <c r="H1814" t="str">
        <f>"1  "</f>
        <v xml:space="preserve">1  </v>
      </c>
      <c r="I1814" t="str">
        <f>"2020/09/19"</f>
        <v>2020/09/19</v>
      </c>
      <c r="J1814" t="str">
        <f>"110"</f>
        <v>110</v>
      </c>
      <c r="K1814" t="str">
        <f>"20210918"</f>
        <v>20210918</v>
      </c>
      <c r="L1814" t="s">
        <v>18</v>
      </c>
      <c r="M1814" t="str">
        <f>"20200919"</f>
        <v>20200919</v>
      </c>
    </row>
    <row r="1815" spans="1:13" x14ac:dyDescent="0.25">
      <c r="A1815" t="str">
        <f>"00269808"</f>
        <v>00269808</v>
      </c>
      <c r="B1815" t="s">
        <v>3940</v>
      </c>
      <c r="C1815" t="s">
        <v>60</v>
      </c>
      <c r="D1815" t="s">
        <v>73</v>
      </c>
      <c r="E1815" t="s">
        <v>26</v>
      </c>
      <c r="F1815" t="s">
        <v>17</v>
      </c>
      <c r="G1815" t="str">
        <f>"02"</f>
        <v>02</v>
      </c>
      <c r="H1815" t="str">
        <f>"3  "</f>
        <v xml:space="preserve">3  </v>
      </c>
      <c r="I1815" t="str">
        <f>"2009/05/29"</f>
        <v>2009/05/29</v>
      </c>
      <c r="J1815" t="str">
        <f>"531"</f>
        <v>531</v>
      </c>
      <c r="K1815" t="str">
        <f>"20241112"</f>
        <v>20241112</v>
      </c>
      <c r="L1815" t="s">
        <v>18</v>
      </c>
      <c r="M1815" t="str">
        <f>"20081208"</f>
        <v>20081208</v>
      </c>
    </row>
    <row r="1816" spans="1:13" x14ac:dyDescent="0.25">
      <c r="A1816" t="str">
        <f>"00416832"</f>
        <v>00416832</v>
      </c>
      <c r="B1816" t="s">
        <v>3940</v>
      </c>
      <c r="C1816" t="s">
        <v>611</v>
      </c>
      <c r="D1816" t="s">
        <v>45</v>
      </c>
      <c r="E1816" t="s">
        <v>26</v>
      </c>
      <c r="F1816" t="s">
        <v>17</v>
      </c>
      <c r="G1816" t="str">
        <f>"02"</f>
        <v>02</v>
      </c>
      <c r="H1816" t="str">
        <f>"3  "</f>
        <v xml:space="preserve">3  </v>
      </c>
      <c r="I1816" t="str">
        <f>"2020/09/02"</f>
        <v>2020/09/02</v>
      </c>
      <c r="J1816" t="str">
        <f>"533"</f>
        <v>533</v>
      </c>
      <c r="K1816" t="str">
        <f>"20260104"</f>
        <v>20260104</v>
      </c>
      <c r="L1816" t="s">
        <v>18</v>
      </c>
      <c r="M1816" t="str">
        <f>"20110803"</f>
        <v>20110803</v>
      </c>
    </row>
    <row r="1817" spans="1:13" x14ac:dyDescent="0.25">
      <c r="A1817" t="str">
        <f>"00085037"</f>
        <v>00085037</v>
      </c>
      <c r="B1817" t="s">
        <v>3940</v>
      </c>
      <c r="C1817" t="s">
        <v>664</v>
      </c>
      <c r="D1817" t="s">
        <v>61</v>
      </c>
      <c r="E1817" t="s">
        <v>26</v>
      </c>
      <c r="F1817" t="s">
        <v>17</v>
      </c>
      <c r="G1817" t="str">
        <f>"02"</f>
        <v>02</v>
      </c>
      <c r="H1817" t="str">
        <f>"7  "</f>
        <v xml:space="preserve">7  </v>
      </c>
      <c r="I1817" t="str">
        <f>"2003/06/25"</f>
        <v>2003/06/25</v>
      </c>
      <c r="J1817" t="str">
        <f>"503"</f>
        <v>503</v>
      </c>
      <c r="K1817" t="s">
        <v>18</v>
      </c>
      <c r="L1817" t="s">
        <v>18</v>
      </c>
      <c r="M1817" t="str">
        <f>"19721114"</f>
        <v>19721114</v>
      </c>
    </row>
    <row r="1818" spans="1:13" x14ac:dyDescent="0.25">
      <c r="A1818" t="str">
        <f>"00483921"</f>
        <v>00483921</v>
      </c>
      <c r="B1818" t="s">
        <v>3958</v>
      </c>
      <c r="C1818" t="s">
        <v>3804</v>
      </c>
      <c r="D1818" t="s">
        <v>61</v>
      </c>
      <c r="E1818" t="s">
        <v>26</v>
      </c>
      <c r="F1818" t="s">
        <v>17</v>
      </c>
      <c r="G1818" t="str">
        <f>"02"</f>
        <v>02</v>
      </c>
      <c r="H1818" t="str">
        <f>"3  "</f>
        <v xml:space="preserve">3  </v>
      </c>
      <c r="I1818" t="str">
        <f>"2014/01/31"</f>
        <v>2014/01/31</v>
      </c>
      <c r="J1818" t="str">
        <f>"510"</f>
        <v>510</v>
      </c>
      <c r="K1818" t="str">
        <f>"20410712"</f>
        <v>20410712</v>
      </c>
      <c r="L1818" t="s">
        <v>18</v>
      </c>
      <c r="M1818" t="str">
        <f>"20111025"</f>
        <v>20111025</v>
      </c>
    </row>
    <row r="1819" spans="1:13" x14ac:dyDescent="0.25">
      <c r="A1819" t="str">
        <f>"00518311"</f>
        <v>00518311</v>
      </c>
      <c r="B1819" t="s">
        <v>3961</v>
      </c>
      <c r="C1819" t="s">
        <v>3962</v>
      </c>
      <c r="D1819" t="s">
        <v>25</v>
      </c>
      <c r="E1819" t="s">
        <v>26</v>
      </c>
      <c r="F1819" t="s">
        <v>17</v>
      </c>
      <c r="G1819" t="str">
        <f>"02"</f>
        <v>02</v>
      </c>
      <c r="H1819" t="str">
        <f>"3  "</f>
        <v xml:space="preserve">3  </v>
      </c>
      <c r="I1819" t="str">
        <f>"2015/05/21"</f>
        <v>2015/05/21</v>
      </c>
      <c r="J1819" t="str">
        <f>"510"</f>
        <v>510</v>
      </c>
      <c r="K1819" t="str">
        <f>"20221229"</f>
        <v>20221229</v>
      </c>
      <c r="L1819" t="s">
        <v>18</v>
      </c>
      <c r="M1819" t="str">
        <f>"20140116"</f>
        <v>20140116</v>
      </c>
    </row>
    <row r="1820" spans="1:13" x14ac:dyDescent="0.25">
      <c r="A1820" t="str">
        <f>"00424510"</f>
        <v>00424510</v>
      </c>
      <c r="B1820" t="s">
        <v>3963</v>
      </c>
      <c r="C1820" t="s">
        <v>3964</v>
      </c>
      <c r="D1820" t="s">
        <v>61</v>
      </c>
      <c r="E1820" t="s">
        <v>26</v>
      </c>
      <c r="F1820" t="s">
        <v>17</v>
      </c>
      <c r="G1820" t="str">
        <f>"02"</f>
        <v>02</v>
      </c>
      <c r="H1820" t="str">
        <f>"3  "</f>
        <v xml:space="preserve">3  </v>
      </c>
      <c r="I1820" t="str">
        <f>"2019/02/11"</f>
        <v>2019/02/11</v>
      </c>
      <c r="J1820" t="str">
        <f>"510"</f>
        <v>510</v>
      </c>
      <c r="K1820" t="str">
        <f>"20290207"</f>
        <v>20290207</v>
      </c>
      <c r="L1820" t="s">
        <v>18</v>
      </c>
      <c r="M1820" t="str">
        <f>"20180426"</f>
        <v>20180426</v>
      </c>
    </row>
    <row r="1821" spans="1:13" x14ac:dyDescent="0.25">
      <c r="A1821" t="str">
        <f>"00565576"</f>
        <v>00565576</v>
      </c>
      <c r="B1821" t="s">
        <v>3968</v>
      </c>
      <c r="C1821" t="s">
        <v>3969</v>
      </c>
      <c r="D1821" t="s">
        <v>51</v>
      </c>
      <c r="E1821" t="s">
        <v>26</v>
      </c>
      <c r="F1821" t="s">
        <v>17</v>
      </c>
      <c r="G1821" t="str">
        <f>"02"</f>
        <v>02</v>
      </c>
      <c r="H1821" t="str">
        <f>"3  "</f>
        <v xml:space="preserve">3  </v>
      </c>
      <c r="I1821" t="str">
        <f>"2017/07/19"</f>
        <v>2017/07/19</v>
      </c>
      <c r="J1821" t="str">
        <f>"510"</f>
        <v>510</v>
      </c>
      <c r="K1821" t="str">
        <f>"20331029"</f>
        <v>20331029</v>
      </c>
      <c r="L1821" t="s">
        <v>18</v>
      </c>
      <c r="M1821" t="str">
        <f>"20151014"</f>
        <v>20151014</v>
      </c>
    </row>
    <row r="1822" spans="1:13" x14ac:dyDescent="0.25">
      <c r="A1822" t="str">
        <f>"00483063"</f>
        <v>00483063</v>
      </c>
      <c r="B1822" t="s">
        <v>3972</v>
      </c>
      <c r="C1822" t="s">
        <v>3974</v>
      </c>
      <c r="D1822" t="s">
        <v>25</v>
      </c>
      <c r="E1822" t="s">
        <v>16</v>
      </c>
      <c r="F1822" t="s">
        <v>17</v>
      </c>
      <c r="G1822" t="str">
        <f>"02"</f>
        <v>02</v>
      </c>
      <c r="H1822" t="str">
        <f>"3  "</f>
        <v xml:space="preserve">3  </v>
      </c>
      <c r="I1822" t="str">
        <f>"2011/08/10"</f>
        <v>2011/08/10</v>
      </c>
      <c r="J1822" t="str">
        <f>"110"</f>
        <v>110</v>
      </c>
      <c r="K1822" t="str">
        <f>"20270705"</f>
        <v>20270705</v>
      </c>
      <c r="L1822" t="s">
        <v>18</v>
      </c>
      <c r="M1822" t="str">
        <f>"20110322"</f>
        <v>20110322</v>
      </c>
    </row>
    <row r="1823" spans="1:13" x14ac:dyDescent="0.25">
      <c r="A1823" t="str">
        <f>"00848409"</f>
        <v>00848409</v>
      </c>
      <c r="B1823" t="s">
        <v>3972</v>
      </c>
      <c r="C1823" t="s">
        <v>3975</v>
      </c>
      <c r="D1823" t="s">
        <v>40</v>
      </c>
      <c r="E1823" t="s">
        <v>26</v>
      </c>
      <c r="F1823" t="s">
        <v>17</v>
      </c>
      <c r="G1823" t="str">
        <f>"02"</f>
        <v>02</v>
      </c>
      <c r="H1823" t="str">
        <f>"7  "</f>
        <v xml:space="preserve">7  </v>
      </c>
      <c r="I1823" t="str">
        <f>"2018/08/31"</f>
        <v>2018/08/31</v>
      </c>
      <c r="J1823" t="str">
        <f>"110"</f>
        <v>110</v>
      </c>
      <c r="K1823" t="s">
        <v>18</v>
      </c>
      <c r="L1823" t="s">
        <v>18</v>
      </c>
      <c r="M1823" t="str">
        <f>"20170112"</f>
        <v>20170112</v>
      </c>
    </row>
    <row r="1824" spans="1:13" x14ac:dyDescent="0.25">
      <c r="A1824" t="str">
        <f>"00468086"</f>
        <v>00468086</v>
      </c>
      <c r="B1824" t="s">
        <v>3972</v>
      </c>
      <c r="C1824" t="s">
        <v>246</v>
      </c>
      <c r="D1824" t="s">
        <v>31</v>
      </c>
      <c r="E1824" t="s">
        <v>26</v>
      </c>
      <c r="F1824" t="s">
        <v>17</v>
      </c>
      <c r="G1824" t="str">
        <f>"02"</f>
        <v>02</v>
      </c>
      <c r="H1824" t="str">
        <f>"3  "</f>
        <v xml:space="preserve">3  </v>
      </c>
      <c r="I1824" t="str">
        <f>"2019/11/01"</f>
        <v>2019/11/01</v>
      </c>
      <c r="J1824" t="str">
        <f>"503"</f>
        <v>503</v>
      </c>
      <c r="K1824" t="str">
        <f>"20240603"</f>
        <v>20240603</v>
      </c>
      <c r="L1824" t="s">
        <v>18</v>
      </c>
      <c r="M1824" t="str">
        <f>"20190611"</f>
        <v>20190611</v>
      </c>
    </row>
    <row r="1825" spans="1:13" x14ac:dyDescent="0.25">
      <c r="A1825" t="str">
        <f>"00163663"</f>
        <v>00163663</v>
      </c>
      <c r="B1825" t="s">
        <v>3972</v>
      </c>
      <c r="C1825" t="s">
        <v>96</v>
      </c>
      <c r="D1825" t="s">
        <v>15</v>
      </c>
      <c r="E1825" t="s">
        <v>26</v>
      </c>
      <c r="F1825" t="s">
        <v>17</v>
      </c>
      <c r="G1825" t="str">
        <f>"02"</f>
        <v>02</v>
      </c>
      <c r="H1825" t="str">
        <f>"3  "</f>
        <v xml:space="preserve">3  </v>
      </c>
      <c r="I1825" t="str">
        <f>"2016/09/19"</f>
        <v>2016/09/19</v>
      </c>
      <c r="J1825" t="str">
        <f>"110"</f>
        <v>110</v>
      </c>
      <c r="K1825" t="str">
        <f>"20211224"</f>
        <v>20211224</v>
      </c>
      <c r="L1825" t="str">
        <f>"20210515"</f>
        <v>20210515</v>
      </c>
      <c r="M1825" t="str">
        <f>"20160304"</f>
        <v>20160304</v>
      </c>
    </row>
    <row r="1826" spans="1:13" x14ac:dyDescent="0.25">
      <c r="A1826" t="str">
        <f>"00430117"</f>
        <v>00430117</v>
      </c>
      <c r="B1826" t="s">
        <v>3972</v>
      </c>
      <c r="C1826" t="s">
        <v>398</v>
      </c>
      <c r="D1826" t="s">
        <v>26</v>
      </c>
      <c r="E1826" t="s">
        <v>16</v>
      </c>
      <c r="F1826" t="s">
        <v>17</v>
      </c>
      <c r="G1826" t="str">
        <f>"02"</f>
        <v>02</v>
      </c>
      <c r="H1826" t="str">
        <f>"3  "</f>
        <v xml:space="preserve">3  </v>
      </c>
      <c r="I1826" t="str">
        <f>"2018/10/01"</f>
        <v>2018/10/01</v>
      </c>
      <c r="J1826" t="str">
        <f>"110"</f>
        <v>110</v>
      </c>
      <c r="K1826" t="str">
        <f>"20230324"</f>
        <v>20230324</v>
      </c>
      <c r="L1826" t="s">
        <v>18</v>
      </c>
      <c r="M1826" t="str">
        <f>"20180901"</f>
        <v>20180901</v>
      </c>
    </row>
    <row r="1827" spans="1:13" x14ac:dyDescent="0.25">
      <c r="A1827" t="str">
        <f>"00477853"</f>
        <v>00477853</v>
      </c>
      <c r="B1827" t="s">
        <v>3972</v>
      </c>
      <c r="C1827" t="s">
        <v>269</v>
      </c>
      <c r="D1827" t="s">
        <v>25</v>
      </c>
      <c r="E1827" t="s">
        <v>26</v>
      </c>
      <c r="F1827" t="s">
        <v>17</v>
      </c>
      <c r="G1827" t="str">
        <f>"02"</f>
        <v>02</v>
      </c>
      <c r="H1827" t="str">
        <f>"3  "</f>
        <v xml:space="preserve">3  </v>
      </c>
      <c r="I1827" t="str">
        <f>"2010/09/30"</f>
        <v>2010/09/30</v>
      </c>
      <c r="J1827" t="str">
        <f>"503"</f>
        <v>503</v>
      </c>
      <c r="K1827" t="str">
        <f>"20291216"</f>
        <v>20291216</v>
      </c>
      <c r="L1827" t="s">
        <v>18</v>
      </c>
      <c r="M1827" t="str">
        <f>"20091128"</f>
        <v>20091128</v>
      </c>
    </row>
    <row r="1828" spans="1:13" x14ac:dyDescent="0.25">
      <c r="A1828" t="str">
        <f>"00263255"</f>
        <v>00263255</v>
      </c>
      <c r="B1828" t="s">
        <v>3972</v>
      </c>
      <c r="C1828" t="s">
        <v>72</v>
      </c>
      <c r="D1828" t="s">
        <v>16</v>
      </c>
      <c r="E1828" t="s">
        <v>16</v>
      </c>
      <c r="F1828" t="s">
        <v>17</v>
      </c>
      <c r="G1828" t="str">
        <f>"02"</f>
        <v>02</v>
      </c>
      <c r="H1828" t="str">
        <f>"3  "</f>
        <v xml:space="preserve">3  </v>
      </c>
      <c r="I1828" t="str">
        <f>"2020/07/21"</f>
        <v>2020/07/21</v>
      </c>
      <c r="J1828" t="str">
        <f>"533"</f>
        <v>533</v>
      </c>
      <c r="K1828" t="str">
        <f>"20430701"</f>
        <v>20430701</v>
      </c>
      <c r="L1828" t="s">
        <v>18</v>
      </c>
      <c r="M1828" t="str">
        <f>"20001222"</f>
        <v>20001222</v>
      </c>
    </row>
    <row r="1829" spans="1:13" x14ac:dyDescent="0.25">
      <c r="A1829" t="str">
        <f>"00584574"</f>
        <v>00584574</v>
      </c>
      <c r="B1829" t="s">
        <v>3972</v>
      </c>
      <c r="C1829" t="s">
        <v>3978</v>
      </c>
      <c r="D1829" t="s">
        <v>80</v>
      </c>
      <c r="E1829" t="s">
        <v>26</v>
      </c>
      <c r="F1829" t="s">
        <v>17</v>
      </c>
      <c r="G1829" t="str">
        <f>"02"</f>
        <v>02</v>
      </c>
      <c r="H1829" t="str">
        <f>"3  "</f>
        <v xml:space="preserve">3  </v>
      </c>
      <c r="I1829" t="str">
        <f>"2019/02/22"</f>
        <v>2019/02/22</v>
      </c>
      <c r="J1829" t="str">
        <f>"503"</f>
        <v>503</v>
      </c>
      <c r="K1829" t="str">
        <f>"20360221"</f>
        <v>20360221</v>
      </c>
      <c r="L1829" t="s">
        <v>18</v>
      </c>
      <c r="M1829" t="str">
        <f>"20180216"</f>
        <v>20180216</v>
      </c>
    </row>
    <row r="1830" spans="1:13" x14ac:dyDescent="0.25">
      <c r="A1830" t="str">
        <f>"00541380"</f>
        <v>00541380</v>
      </c>
      <c r="B1830" t="s">
        <v>3972</v>
      </c>
      <c r="C1830" t="s">
        <v>648</v>
      </c>
      <c r="D1830" t="s">
        <v>61</v>
      </c>
      <c r="E1830" t="s">
        <v>26</v>
      </c>
      <c r="F1830" t="s">
        <v>17</v>
      </c>
      <c r="G1830" t="str">
        <f>"02"</f>
        <v>02</v>
      </c>
      <c r="H1830" t="str">
        <f>"1  "</f>
        <v xml:space="preserve">1  </v>
      </c>
      <c r="I1830" t="str">
        <f>"2020/09/21"</f>
        <v>2020/09/21</v>
      </c>
      <c r="J1830" t="str">
        <f>"504"</f>
        <v>504</v>
      </c>
      <c r="K1830" t="str">
        <f>"20210523"</f>
        <v>20210523</v>
      </c>
      <c r="L1830" t="s">
        <v>18</v>
      </c>
      <c r="M1830" t="str">
        <f>"20200708"</f>
        <v>20200708</v>
      </c>
    </row>
    <row r="1831" spans="1:13" x14ac:dyDescent="0.25">
      <c r="A1831" t="str">
        <f>"00091381"</f>
        <v>00091381</v>
      </c>
      <c r="B1831" t="s">
        <v>3972</v>
      </c>
      <c r="C1831" t="s">
        <v>22</v>
      </c>
      <c r="D1831" t="s">
        <v>47</v>
      </c>
      <c r="E1831" t="s">
        <v>16</v>
      </c>
      <c r="F1831" t="s">
        <v>17</v>
      </c>
      <c r="G1831" t="str">
        <f>"02"</f>
        <v>02</v>
      </c>
      <c r="H1831" t="str">
        <f>"7  "</f>
        <v xml:space="preserve">7  </v>
      </c>
      <c r="I1831" t="str">
        <f>"1994/07/02"</f>
        <v>1994/07/02</v>
      </c>
      <c r="J1831" t="str">
        <f>"532"</f>
        <v>532</v>
      </c>
      <c r="K1831" t="s">
        <v>18</v>
      </c>
      <c r="L1831" t="s">
        <v>18</v>
      </c>
      <c r="M1831" t="str">
        <f>"19831129"</f>
        <v>19831129</v>
      </c>
    </row>
    <row r="1832" spans="1:13" x14ac:dyDescent="0.25">
      <c r="A1832" t="str">
        <f>"00456223"</f>
        <v>00456223</v>
      </c>
      <c r="B1832" t="s">
        <v>3981</v>
      </c>
      <c r="C1832" t="s">
        <v>639</v>
      </c>
      <c r="D1832" t="s">
        <v>51</v>
      </c>
      <c r="E1832" t="s">
        <v>26</v>
      </c>
      <c r="F1832" t="s">
        <v>17</v>
      </c>
      <c r="G1832" t="str">
        <f>"02"</f>
        <v>02</v>
      </c>
      <c r="H1832" t="str">
        <f>"3  "</f>
        <v xml:space="preserve">3  </v>
      </c>
      <c r="I1832" t="str">
        <f>"2016/11/03"</f>
        <v>2016/11/03</v>
      </c>
      <c r="J1832" t="str">
        <f>"110"</f>
        <v>110</v>
      </c>
      <c r="K1832" t="str">
        <f>"20270228"</f>
        <v>20270228</v>
      </c>
      <c r="L1832" t="s">
        <v>18</v>
      </c>
      <c r="M1832" t="str">
        <f>"20160502"</f>
        <v>20160502</v>
      </c>
    </row>
    <row r="1833" spans="1:13" x14ac:dyDescent="0.25">
      <c r="A1833" t="str">
        <f>"00203287"</f>
        <v>00203287</v>
      </c>
      <c r="B1833" t="s">
        <v>3981</v>
      </c>
      <c r="C1833" t="s">
        <v>169</v>
      </c>
      <c r="D1833" t="s">
        <v>80</v>
      </c>
      <c r="E1833" t="s">
        <v>26</v>
      </c>
      <c r="F1833" t="s">
        <v>17</v>
      </c>
      <c r="G1833" t="str">
        <f>"02"</f>
        <v>02</v>
      </c>
      <c r="H1833" t="str">
        <f>"3  "</f>
        <v xml:space="preserve">3  </v>
      </c>
      <c r="I1833" t="str">
        <f>"2016/12/02"</f>
        <v>2016/12/02</v>
      </c>
      <c r="J1833" t="str">
        <f>"510"</f>
        <v>510</v>
      </c>
      <c r="K1833" t="str">
        <f>"20380221"</f>
        <v>20380221</v>
      </c>
      <c r="L1833" t="s">
        <v>18</v>
      </c>
      <c r="M1833" t="str">
        <f>"20151113"</f>
        <v>20151113</v>
      </c>
    </row>
    <row r="1834" spans="1:13" x14ac:dyDescent="0.25">
      <c r="A1834" t="str">
        <f>"00203994"</f>
        <v>00203994</v>
      </c>
      <c r="B1834" t="s">
        <v>3989</v>
      </c>
      <c r="C1834" t="s">
        <v>169</v>
      </c>
      <c r="D1834" t="s">
        <v>53</v>
      </c>
      <c r="E1834" t="s">
        <v>16</v>
      </c>
      <c r="F1834" t="s">
        <v>17</v>
      </c>
      <c r="G1834" t="str">
        <f>"02"</f>
        <v>02</v>
      </c>
      <c r="H1834" t="str">
        <f>"3  "</f>
        <v xml:space="preserve">3  </v>
      </c>
      <c r="I1834" t="str">
        <f>"2013/12/17"</f>
        <v>2013/12/17</v>
      </c>
      <c r="J1834" t="str">
        <f>"110"</f>
        <v>110</v>
      </c>
      <c r="K1834" t="str">
        <f>"20370106"</f>
        <v>20370106</v>
      </c>
      <c r="L1834" t="s">
        <v>18</v>
      </c>
      <c r="M1834" t="str">
        <f>"20121214"</f>
        <v>20121214</v>
      </c>
    </row>
    <row r="1835" spans="1:13" x14ac:dyDescent="0.25">
      <c r="A1835" t="str">
        <f>"00786469"</f>
        <v>00786469</v>
      </c>
      <c r="B1835" t="s">
        <v>3990</v>
      </c>
      <c r="C1835" t="s">
        <v>213</v>
      </c>
      <c r="D1835" t="s">
        <v>25</v>
      </c>
      <c r="E1835" t="s">
        <v>26</v>
      </c>
      <c r="F1835" t="s">
        <v>17</v>
      </c>
      <c r="G1835" t="str">
        <f>"02"</f>
        <v>02</v>
      </c>
      <c r="H1835" t="str">
        <f>"0  "</f>
        <v xml:space="preserve">0  </v>
      </c>
      <c r="I1835" t="str">
        <f>"2020/09/18"</f>
        <v>2020/09/18</v>
      </c>
      <c r="J1835" t="str">
        <f>"510"</f>
        <v>510</v>
      </c>
      <c r="K1835" t="s">
        <v>18</v>
      </c>
      <c r="L1835" t="s">
        <v>18</v>
      </c>
      <c r="M1835" t="s">
        <v>18</v>
      </c>
    </row>
    <row r="1836" spans="1:13" x14ac:dyDescent="0.25">
      <c r="A1836" t="str">
        <f>"00152383"</f>
        <v>00152383</v>
      </c>
      <c r="B1836" t="s">
        <v>3993</v>
      </c>
      <c r="C1836" t="s">
        <v>3994</v>
      </c>
      <c r="D1836" t="s">
        <v>40</v>
      </c>
      <c r="E1836" t="s">
        <v>26</v>
      </c>
      <c r="F1836" t="s">
        <v>17</v>
      </c>
      <c r="G1836" t="str">
        <f>"02"</f>
        <v>02</v>
      </c>
      <c r="H1836" t="str">
        <f>"3  "</f>
        <v xml:space="preserve">3  </v>
      </c>
      <c r="I1836" t="str">
        <f>"2007/01/10"</f>
        <v>2007/01/10</v>
      </c>
      <c r="J1836" t="str">
        <f>"110"</f>
        <v>110</v>
      </c>
      <c r="K1836" t="str">
        <f>"20340926"</f>
        <v>20340926</v>
      </c>
      <c r="L1836" t="s">
        <v>18</v>
      </c>
      <c r="M1836" t="str">
        <f>"20060305"</f>
        <v>20060305</v>
      </c>
    </row>
    <row r="1837" spans="1:13" x14ac:dyDescent="0.25">
      <c r="A1837" t="str">
        <f>"00177957"</f>
        <v>00177957</v>
      </c>
      <c r="B1837" t="s">
        <v>3993</v>
      </c>
      <c r="C1837" t="s">
        <v>526</v>
      </c>
      <c r="D1837" t="s">
        <v>80</v>
      </c>
      <c r="E1837" t="s">
        <v>26</v>
      </c>
      <c r="F1837" t="s">
        <v>17</v>
      </c>
      <c r="G1837" t="str">
        <f>"02"</f>
        <v>02</v>
      </c>
      <c r="H1837" t="str">
        <f>"3  "</f>
        <v xml:space="preserve">3  </v>
      </c>
      <c r="I1837" t="str">
        <f>"2002/08/12"</f>
        <v>2002/08/12</v>
      </c>
      <c r="J1837" t="str">
        <f>"510"</f>
        <v>510</v>
      </c>
      <c r="K1837" t="str">
        <f>"20420610"</f>
        <v>20420610</v>
      </c>
      <c r="L1837" t="s">
        <v>18</v>
      </c>
      <c r="M1837" t="str">
        <f>"20010316"</f>
        <v>20010316</v>
      </c>
    </row>
    <row r="1838" spans="1:13" x14ac:dyDescent="0.25">
      <c r="A1838" t="str">
        <f>"00633616"</f>
        <v>00633616</v>
      </c>
      <c r="B1838" t="s">
        <v>4001</v>
      </c>
      <c r="C1838" t="s">
        <v>4002</v>
      </c>
      <c r="D1838" t="s">
        <v>25</v>
      </c>
      <c r="E1838" t="s">
        <v>26</v>
      </c>
      <c r="F1838" t="s">
        <v>17</v>
      </c>
      <c r="G1838" t="str">
        <f>"02"</f>
        <v>02</v>
      </c>
      <c r="H1838" t="str">
        <f>"3  "</f>
        <v xml:space="preserve">3  </v>
      </c>
      <c r="I1838" t="str">
        <f>"2020/09/02"</f>
        <v>2020/09/02</v>
      </c>
      <c r="J1838" t="str">
        <f>"533"</f>
        <v>533</v>
      </c>
      <c r="K1838" t="str">
        <f>"20361219"</f>
        <v>20361219</v>
      </c>
      <c r="L1838" t="s">
        <v>18</v>
      </c>
      <c r="M1838" t="str">
        <f>"20140621"</f>
        <v>20140621</v>
      </c>
    </row>
    <row r="1839" spans="1:13" x14ac:dyDescent="0.25">
      <c r="A1839" t="str">
        <f>"00261154"</f>
        <v>00261154</v>
      </c>
      <c r="B1839" t="s">
        <v>4005</v>
      </c>
      <c r="C1839" t="s">
        <v>327</v>
      </c>
      <c r="D1839" t="s">
        <v>15</v>
      </c>
      <c r="E1839" t="s">
        <v>16</v>
      </c>
      <c r="F1839" t="s">
        <v>17</v>
      </c>
      <c r="G1839" t="str">
        <f>"02"</f>
        <v>02</v>
      </c>
      <c r="H1839" t="str">
        <f>"7  "</f>
        <v xml:space="preserve">7  </v>
      </c>
      <c r="I1839" t="str">
        <f>"1992/11/19"</f>
        <v>1992/11/19</v>
      </c>
      <c r="J1839" t="str">
        <f>"510"</f>
        <v>510</v>
      </c>
      <c r="K1839" t="s">
        <v>18</v>
      </c>
      <c r="L1839" t="str">
        <f>"21711210"</f>
        <v>21711210</v>
      </c>
      <c r="M1839" t="str">
        <f>"19920626"</f>
        <v>19920626</v>
      </c>
    </row>
    <row r="1840" spans="1:13" x14ac:dyDescent="0.25">
      <c r="A1840" t="str">
        <f>"00171877"</f>
        <v>00171877</v>
      </c>
      <c r="B1840" t="s">
        <v>4009</v>
      </c>
      <c r="C1840" t="s">
        <v>385</v>
      </c>
      <c r="D1840" t="s">
        <v>40</v>
      </c>
      <c r="E1840" t="s">
        <v>26</v>
      </c>
      <c r="F1840" t="s">
        <v>17</v>
      </c>
      <c r="G1840" t="str">
        <f>"02"</f>
        <v>02</v>
      </c>
      <c r="H1840" t="str">
        <f>"7  "</f>
        <v xml:space="preserve">7  </v>
      </c>
      <c r="I1840" t="str">
        <f>"2001/10/29"</f>
        <v>2001/10/29</v>
      </c>
      <c r="J1840" t="str">
        <f>"532"</f>
        <v>532</v>
      </c>
      <c r="K1840" t="s">
        <v>18</v>
      </c>
      <c r="L1840" t="s">
        <v>18</v>
      </c>
      <c r="M1840" t="str">
        <f>"19930829"</f>
        <v>19930829</v>
      </c>
    </row>
    <row r="1841" spans="1:13" x14ac:dyDescent="0.25">
      <c r="A1841" t="str">
        <f>"00557815"</f>
        <v>00557815</v>
      </c>
      <c r="B1841" t="s">
        <v>4013</v>
      </c>
      <c r="C1841" t="s">
        <v>288</v>
      </c>
      <c r="D1841" t="s">
        <v>91</v>
      </c>
      <c r="E1841" t="s">
        <v>16</v>
      </c>
      <c r="F1841" t="s">
        <v>17</v>
      </c>
      <c r="G1841" t="str">
        <f>"02"</f>
        <v>02</v>
      </c>
      <c r="H1841" t="str">
        <f>"3  "</f>
        <v xml:space="preserve">3  </v>
      </c>
      <c r="I1841" t="str">
        <f>"2008/04/11"</f>
        <v>2008/04/11</v>
      </c>
      <c r="J1841" t="str">
        <f>"510"</f>
        <v>510</v>
      </c>
      <c r="K1841" t="str">
        <f>"22670301"</f>
        <v>22670301</v>
      </c>
      <c r="L1841" t="s">
        <v>18</v>
      </c>
      <c r="M1841" t="str">
        <f>"20060106"</f>
        <v>20060106</v>
      </c>
    </row>
    <row r="1842" spans="1:13" x14ac:dyDescent="0.25">
      <c r="A1842" t="str">
        <f>"00606100"</f>
        <v>00606100</v>
      </c>
      <c r="B1842" t="s">
        <v>4013</v>
      </c>
      <c r="C1842" t="s">
        <v>176</v>
      </c>
      <c r="D1842" t="s">
        <v>40</v>
      </c>
      <c r="E1842" t="s">
        <v>16</v>
      </c>
      <c r="F1842" t="s">
        <v>17</v>
      </c>
      <c r="G1842" t="str">
        <f>"02"</f>
        <v>02</v>
      </c>
      <c r="H1842" t="str">
        <f>"3  "</f>
        <v xml:space="preserve">3  </v>
      </c>
      <c r="I1842" t="str">
        <f>"2017/03/14"</f>
        <v>2017/03/14</v>
      </c>
      <c r="J1842" t="str">
        <f>"110"</f>
        <v>110</v>
      </c>
      <c r="K1842" t="str">
        <f>"20230623"</f>
        <v>20230623</v>
      </c>
      <c r="L1842" t="s">
        <v>18</v>
      </c>
      <c r="M1842" t="str">
        <f>"20160512"</f>
        <v>20160512</v>
      </c>
    </row>
    <row r="1843" spans="1:13" x14ac:dyDescent="0.25">
      <c r="A1843" t="str">
        <f>"00190625"</f>
        <v>00190625</v>
      </c>
      <c r="B1843" t="s">
        <v>4016</v>
      </c>
      <c r="C1843" t="s">
        <v>1177</v>
      </c>
      <c r="D1843" t="s">
        <v>45</v>
      </c>
      <c r="E1843" t="s">
        <v>26</v>
      </c>
      <c r="F1843" t="s">
        <v>17</v>
      </c>
      <c r="G1843" t="str">
        <f>"02"</f>
        <v>02</v>
      </c>
      <c r="H1843" t="str">
        <f>"7  "</f>
        <v xml:space="preserve">7  </v>
      </c>
      <c r="I1843" t="str">
        <f>"2009/01/29"</f>
        <v>2009/01/29</v>
      </c>
      <c r="J1843" t="str">
        <f>"110"</f>
        <v>110</v>
      </c>
      <c r="K1843" t="s">
        <v>18</v>
      </c>
      <c r="L1843" t="s">
        <v>18</v>
      </c>
      <c r="M1843" t="str">
        <f>"20070926"</f>
        <v>20070926</v>
      </c>
    </row>
    <row r="1844" spans="1:13" x14ac:dyDescent="0.25">
      <c r="A1844" t="str">
        <f>"00164728"</f>
        <v>00164728</v>
      </c>
      <c r="B1844" t="s">
        <v>4017</v>
      </c>
      <c r="C1844" t="s">
        <v>120</v>
      </c>
      <c r="D1844" t="s">
        <v>40</v>
      </c>
      <c r="E1844" t="s">
        <v>16</v>
      </c>
      <c r="F1844" t="s">
        <v>17</v>
      </c>
      <c r="G1844" t="str">
        <f>"02"</f>
        <v>02</v>
      </c>
      <c r="H1844" t="str">
        <f>"3  "</f>
        <v xml:space="preserve">3  </v>
      </c>
      <c r="I1844" t="str">
        <f>"2018/01/30"</f>
        <v>2018/01/30</v>
      </c>
      <c r="J1844" t="str">
        <f>"510"</f>
        <v>510</v>
      </c>
      <c r="K1844" t="str">
        <f>"20390311"</f>
        <v>20390311</v>
      </c>
      <c r="L1844" t="s">
        <v>18</v>
      </c>
      <c r="M1844" t="str">
        <f>"20170214"</f>
        <v>20170214</v>
      </c>
    </row>
    <row r="1845" spans="1:13" x14ac:dyDescent="0.25">
      <c r="A1845" t="str">
        <f>"00208423"</f>
        <v>00208423</v>
      </c>
      <c r="B1845" t="s">
        <v>4020</v>
      </c>
      <c r="C1845" t="s">
        <v>55</v>
      </c>
      <c r="D1845" t="s">
        <v>51</v>
      </c>
      <c r="E1845" t="s">
        <v>26</v>
      </c>
      <c r="F1845" t="s">
        <v>17</v>
      </c>
      <c r="G1845" t="str">
        <f>"02"</f>
        <v>02</v>
      </c>
      <c r="H1845" t="str">
        <f>"3  "</f>
        <v xml:space="preserve">3  </v>
      </c>
      <c r="I1845" t="str">
        <f>"2013/09/23"</f>
        <v>2013/09/23</v>
      </c>
      <c r="J1845" t="str">
        <f>"510"</f>
        <v>510</v>
      </c>
      <c r="K1845" t="str">
        <f>"20620205"</f>
        <v>20620205</v>
      </c>
      <c r="L1845" t="s">
        <v>18</v>
      </c>
      <c r="M1845" t="str">
        <f>"20120930"</f>
        <v>20120930</v>
      </c>
    </row>
    <row r="1846" spans="1:13" x14ac:dyDescent="0.25">
      <c r="A1846" t="str">
        <f>"00293679"</f>
        <v>00293679</v>
      </c>
      <c r="B1846" t="s">
        <v>4021</v>
      </c>
      <c r="C1846" t="s">
        <v>72</v>
      </c>
      <c r="D1846" t="s">
        <v>53</v>
      </c>
      <c r="E1846" t="s">
        <v>16</v>
      </c>
      <c r="F1846" t="s">
        <v>17</v>
      </c>
      <c r="G1846" t="str">
        <f>"02"</f>
        <v>02</v>
      </c>
      <c r="H1846" t="str">
        <f>"3  "</f>
        <v xml:space="preserve">3  </v>
      </c>
      <c r="I1846" t="str">
        <f>"2016/09/22"</f>
        <v>2016/09/22</v>
      </c>
      <c r="J1846" t="str">
        <f>"503"</f>
        <v>503</v>
      </c>
      <c r="K1846" t="str">
        <f>"20330823"</f>
        <v>20330823</v>
      </c>
      <c r="L1846" t="s">
        <v>18</v>
      </c>
      <c r="M1846" t="str">
        <f>"20150817"</f>
        <v>20150817</v>
      </c>
    </row>
    <row r="1847" spans="1:13" x14ac:dyDescent="0.25">
      <c r="A1847" t="str">
        <f>"00169921"</f>
        <v>00169921</v>
      </c>
      <c r="B1847" t="s">
        <v>4027</v>
      </c>
      <c r="C1847" t="s">
        <v>336</v>
      </c>
      <c r="D1847" t="s">
        <v>31</v>
      </c>
      <c r="E1847" t="s">
        <v>26</v>
      </c>
      <c r="F1847" t="s">
        <v>17</v>
      </c>
      <c r="G1847" t="str">
        <f>"02"</f>
        <v>02</v>
      </c>
      <c r="H1847" t="str">
        <f>"7  "</f>
        <v xml:space="preserve">7  </v>
      </c>
      <c r="I1847" t="str">
        <f>"2010/06/24"</f>
        <v>2010/06/24</v>
      </c>
      <c r="J1847" t="str">
        <f>"503"</f>
        <v>503</v>
      </c>
      <c r="K1847" t="s">
        <v>18</v>
      </c>
      <c r="L1847" t="s">
        <v>18</v>
      </c>
      <c r="M1847" t="str">
        <f>"19960215"</f>
        <v>19960215</v>
      </c>
    </row>
    <row r="1848" spans="1:13" x14ac:dyDescent="0.25">
      <c r="A1848" t="str">
        <f>"00385905"</f>
        <v>00385905</v>
      </c>
      <c r="B1848" t="s">
        <v>4027</v>
      </c>
      <c r="C1848" t="s">
        <v>288</v>
      </c>
      <c r="D1848" t="s">
        <v>25</v>
      </c>
      <c r="E1848" t="s">
        <v>26</v>
      </c>
      <c r="F1848" t="s">
        <v>17</v>
      </c>
      <c r="G1848" t="str">
        <f>"02"</f>
        <v>02</v>
      </c>
      <c r="H1848" t="str">
        <f>"3  "</f>
        <v xml:space="preserve">3  </v>
      </c>
      <c r="I1848" t="str">
        <f>"2020/08/05"</f>
        <v>2020/08/05</v>
      </c>
      <c r="J1848" t="str">
        <f>"533"</f>
        <v>533</v>
      </c>
      <c r="K1848" t="str">
        <f>"20280225"</f>
        <v>20280225</v>
      </c>
      <c r="L1848" t="s">
        <v>18</v>
      </c>
      <c r="M1848" t="str">
        <f>"20001010"</f>
        <v>20001010</v>
      </c>
    </row>
    <row r="1849" spans="1:13" x14ac:dyDescent="0.25">
      <c r="A1849" t="str">
        <f>"00485527"</f>
        <v>00485527</v>
      </c>
      <c r="B1849" t="s">
        <v>4027</v>
      </c>
      <c r="C1849" t="s">
        <v>3113</v>
      </c>
      <c r="D1849" t="s">
        <v>16</v>
      </c>
      <c r="E1849" t="s">
        <v>16</v>
      </c>
      <c r="F1849" t="s">
        <v>17</v>
      </c>
      <c r="G1849" t="str">
        <f>"02"</f>
        <v>02</v>
      </c>
      <c r="H1849" t="str">
        <f>"7  "</f>
        <v xml:space="preserve">7  </v>
      </c>
      <c r="I1849" t="str">
        <f>"2020/09/16"</f>
        <v>2020/09/16</v>
      </c>
      <c r="J1849" t="str">
        <f>"533"</f>
        <v>533</v>
      </c>
      <c r="K1849" t="s">
        <v>18</v>
      </c>
      <c r="L1849" t="s">
        <v>18</v>
      </c>
      <c r="M1849" t="str">
        <f>"20100305"</f>
        <v>20100305</v>
      </c>
    </row>
    <row r="1850" spans="1:13" x14ac:dyDescent="0.25">
      <c r="A1850" t="str">
        <f>"00158184"</f>
        <v>00158184</v>
      </c>
      <c r="B1850" t="s">
        <v>4027</v>
      </c>
      <c r="C1850" t="s">
        <v>136</v>
      </c>
      <c r="D1850" t="s">
        <v>80</v>
      </c>
      <c r="E1850" t="s">
        <v>16</v>
      </c>
      <c r="F1850" t="s">
        <v>17</v>
      </c>
      <c r="G1850" t="str">
        <f>"02"</f>
        <v>02</v>
      </c>
      <c r="H1850" t="str">
        <f>"3  "</f>
        <v xml:space="preserve">3  </v>
      </c>
      <c r="I1850" t="str">
        <f>"2008/12/19"</f>
        <v>2008/12/19</v>
      </c>
      <c r="J1850" t="str">
        <f>"503"</f>
        <v>503</v>
      </c>
      <c r="K1850" t="str">
        <f>"20761209"</f>
        <v>20761209</v>
      </c>
      <c r="L1850" t="s">
        <v>18</v>
      </c>
      <c r="M1850" t="str">
        <f>"20080112"</f>
        <v>20080112</v>
      </c>
    </row>
    <row r="1851" spans="1:13" x14ac:dyDescent="0.25">
      <c r="A1851" t="str">
        <f>"00614784"</f>
        <v>00614784</v>
      </c>
      <c r="B1851" t="s">
        <v>4027</v>
      </c>
      <c r="C1851" t="s">
        <v>48</v>
      </c>
      <c r="D1851" t="s">
        <v>97</v>
      </c>
      <c r="E1851" t="s">
        <v>26</v>
      </c>
      <c r="F1851" t="s">
        <v>17</v>
      </c>
      <c r="G1851" t="str">
        <f>"02"</f>
        <v>02</v>
      </c>
      <c r="H1851" t="str">
        <f>"3  "</f>
        <v xml:space="preserve">3  </v>
      </c>
      <c r="I1851" t="str">
        <f>"2009/06/25"</f>
        <v>2009/06/25</v>
      </c>
      <c r="J1851" t="str">
        <f>"510"</f>
        <v>510</v>
      </c>
      <c r="K1851" t="str">
        <f>"21370914"</f>
        <v>21370914</v>
      </c>
      <c r="L1851" t="s">
        <v>18</v>
      </c>
      <c r="M1851" t="str">
        <f>"20080325"</f>
        <v>20080325</v>
      </c>
    </row>
    <row r="1852" spans="1:13" x14ac:dyDescent="0.25">
      <c r="A1852" t="str">
        <f>"00281081"</f>
        <v>00281081</v>
      </c>
      <c r="B1852" t="s">
        <v>4027</v>
      </c>
      <c r="C1852" t="s">
        <v>787</v>
      </c>
      <c r="D1852" t="s">
        <v>25</v>
      </c>
      <c r="E1852" t="s">
        <v>16</v>
      </c>
      <c r="F1852" t="s">
        <v>17</v>
      </c>
      <c r="G1852" t="str">
        <f>"02"</f>
        <v>02</v>
      </c>
      <c r="H1852" t="str">
        <f>"3  "</f>
        <v xml:space="preserve">3  </v>
      </c>
      <c r="I1852" t="str">
        <f>"2020/07/03"</f>
        <v>2020/07/03</v>
      </c>
      <c r="J1852" t="str">
        <f>"503"</f>
        <v>503</v>
      </c>
      <c r="K1852" t="str">
        <f>"20210311"</f>
        <v>20210311</v>
      </c>
      <c r="L1852" t="s">
        <v>18</v>
      </c>
      <c r="M1852" t="str">
        <f>"20160829"</f>
        <v>20160829</v>
      </c>
    </row>
    <row r="1853" spans="1:13" x14ac:dyDescent="0.25">
      <c r="A1853" t="str">
        <f>"00303457"</f>
        <v>00303457</v>
      </c>
      <c r="B1853" t="s">
        <v>4027</v>
      </c>
      <c r="C1853" t="s">
        <v>484</v>
      </c>
      <c r="D1853" t="s">
        <v>80</v>
      </c>
      <c r="E1853" t="s">
        <v>26</v>
      </c>
      <c r="F1853" t="s">
        <v>17</v>
      </c>
      <c r="G1853" t="str">
        <f>"02"</f>
        <v>02</v>
      </c>
      <c r="H1853" t="str">
        <f>"3  "</f>
        <v xml:space="preserve">3  </v>
      </c>
      <c r="I1853" t="str">
        <f>"2018/08/20"</f>
        <v>2018/08/20</v>
      </c>
      <c r="J1853" t="str">
        <f>"510"</f>
        <v>510</v>
      </c>
      <c r="K1853" t="str">
        <f>"20370325"</f>
        <v>20370325</v>
      </c>
      <c r="L1853" t="s">
        <v>18</v>
      </c>
      <c r="M1853" t="str">
        <f>"20160711"</f>
        <v>20160711</v>
      </c>
    </row>
    <row r="1854" spans="1:13" x14ac:dyDescent="0.25">
      <c r="A1854" t="str">
        <f>"00129621"</f>
        <v>00129621</v>
      </c>
      <c r="B1854" t="s">
        <v>4027</v>
      </c>
      <c r="C1854" t="s">
        <v>444</v>
      </c>
      <c r="D1854" t="s">
        <v>26</v>
      </c>
      <c r="E1854" t="s">
        <v>16</v>
      </c>
      <c r="F1854" t="s">
        <v>17</v>
      </c>
      <c r="G1854" t="str">
        <f>"02"</f>
        <v>02</v>
      </c>
      <c r="H1854" t="str">
        <f>"7  "</f>
        <v xml:space="preserve">7  </v>
      </c>
      <c r="I1854" t="str">
        <f>"1991/01/18"</f>
        <v>1991/01/18</v>
      </c>
      <c r="J1854" t="str">
        <f>"503"</f>
        <v>503</v>
      </c>
      <c r="K1854" t="s">
        <v>18</v>
      </c>
      <c r="L1854" t="str">
        <f>"20211205"</f>
        <v>20211205</v>
      </c>
      <c r="M1854" t="str">
        <f>"19841120"</f>
        <v>19841120</v>
      </c>
    </row>
    <row r="1855" spans="1:13" x14ac:dyDescent="0.25">
      <c r="A1855" t="str">
        <f>"00333776"</f>
        <v>00333776</v>
      </c>
      <c r="B1855" t="s">
        <v>4027</v>
      </c>
      <c r="C1855" t="s">
        <v>3256</v>
      </c>
      <c r="D1855" t="s">
        <v>15</v>
      </c>
      <c r="E1855" t="s">
        <v>26</v>
      </c>
      <c r="F1855" t="s">
        <v>17</v>
      </c>
      <c r="G1855" t="str">
        <f>"02"</f>
        <v>02</v>
      </c>
      <c r="H1855" t="str">
        <f>"3  "</f>
        <v xml:space="preserve">3  </v>
      </c>
      <c r="I1855" t="str">
        <f>"2007/01/31"</f>
        <v>2007/01/31</v>
      </c>
      <c r="J1855" t="str">
        <f>"110"</f>
        <v>110</v>
      </c>
      <c r="K1855" t="str">
        <f>"20891114"</f>
        <v>20891114</v>
      </c>
      <c r="L1855" t="s">
        <v>18</v>
      </c>
      <c r="M1855" t="str">
        <f>"20060205"</f>
        <v>20060205</v>
      </c>
    </row>
    <row r="1856" spans="1:13" x14ac:dyDescent="0.25">
      <c r="A1856" t="str">
        <f>"00612551"</f>
        <v>00612551</v>
      </c>
      <c r="B1856" t="s">
        <v>4027</v>
      </c>
      <c r="C1856" t="s">
        <v>714</v>
      </c>
      <c r="D1856" t="s">
        <v>25</v>
      </c>
      <c r="E1856" t="s">
        <v>26</v>
      </c>
      <c r="F1856" t="s">
        <v>17</v>
      </c>
      <c r="G1856" t="str">
        <f>"02"</f>
        <v>02</v>
      </c>
      <c r="H1856" t="str">
        <f>"3  "</f>
        <v xml:space="preserve">3  </v>
      </c>
      <c r="I1856" t="str">
        <f>"2020/09/02"</f>
        <v>2020/09/02</v>
      </c>
      <c r="J1856" t="str">
        <f>"533"</f>
        <v>533</v>
      </c>
      <c r="K1856" t="str">
        <f>"20340125"</f>
        <v>20340125</v>
      </c>
      <c r="L1856" t="s">
        <v>18</v>
      </c>
      <c r="M1856" t="str">
        <f>"20111201"</f>
        <v>20111201</v>
      </c>
    </row>
    <row r="1857" spans="1:13" x14ac:dyDescent="0.25">
      <c r="A1857" t="str">
        <f>"00230593"</f>
        <v>00230593</v>
      </c>
      <c r="B1857" t="s">
        <v>4027</v>
      </c>
      <c r="C1857" t="s">
        <v>4034</v>
      </c>
      <c r="D1857" t="s">
        <v>45</v>
      </c>
      <c r="E1857" t="s">
        <v>26</v>
      </c>
      <c r="F1857" t="s">
        <v>17</v>
      </c>
      <c r="G1857" t="str">
        <f>"02"</f>
        <v>02</v>
      </c>
      <c r="H1857" t="str">
        <f>"3  "</f>
        <v xml:space="preserve">3  </v>
      </c>
      <c r="I1857" t="str">
        <f>"2016/11/18"</f>
        <v>2016/11/18</v>
      </c>
      <c r="J1857" t="str">
        <f>"510"</f>
        <v>510</v>
      </c>
      <c r="K1857" t="str">
        <f>"20290928"</f>
        <v>20290928</v>
      </c>
      <c r="L1857" t="s">
        <v>18</v>
      </c>
      <c r="M1857" t="str">
        <f>"20131212"</f>
        <v>20131212</v>
      </c>
    </row>
    <row r="1858" spans="1:13" x14ac:dyDescent="0.25">
      <c r="A1858" t="str">
        <f>"00303456"</f>
        <v>00303456</v>
      </c>
      <c r="B1858" t="s">
        <v>4035</v>
      </c>
      <c r="C1858" t="s">
        <v>626</v>
      </c>
      <c r="D1858" t="s">
        <v>25</v>
      </c>
      <c r="E1858" t="s">
        <v>26</v>
      </c>
      <c r="F1858" t="s">
        <v>17</v>
      </c>
      <c r="G1858" t="str">
        <f>"02"</f>
        <v>02</v>
      </c>
      <c r="H1858" t="str">
        <f>"3  "</f>
        <v xml:space="preserve">3  </v>
      </c>
      <c r="I1858" t="str">
        <f>"2016/11/16"</f>
        <v>2016/11/16</v>
      </c>
      <c r="J1858" t="str">
        <f>"510"</f>
        <v>510</v>
      </c>
      <c r="K1858" t="str">
        <f>"20361213"</f>
        <v>20361213</v>
      </c>
      <c r="L1858" t="s">
        <v>18</v>
      </c>
      <c r="M1858" t="str">
        <f>"20160318"</f>
        <v>20160318</v>
      </c>
    </row>
    <row r="1859" spans="1:13" x14ac:dyDescent="0.25">
      <c r="A1859" t="str">
        <f>"00519340"</f>
        <v>00519340</v>
      </c>
      <c r="B1859" t="s">
        <v>4038</v>
      </c>
      <c r="C1859" t="s">
        <v>135</v>
      </c>
      <c r="D1859" t="s">
        <v>51</v>
      </c>
      <c r="E1859" t="s">
        <v>26</v>
      </c>
      <c r="F1859" t="s">
        <v>17</v>
      </c>
      <c r="G1859" t="str">
        <f>"02"</f>
        <v>02</v>
      </c>
      <c r="H1859" t="str">
        <f>"7  "</f>
        <v xml:space="preserve">7  </v>
      </c>
      <c r="I1859" t="str">
        <f>"2014/06/18"</f>
        <v>2014/06/18</v>
      </c>
      <c r="J1859" t="str">
        <f>"510"</f>
        <v>510</v>
      </c>
      <c r="K1859" t="s">
        <v>18</v>
      </c>
      <c r="L1859" t="s">
        <v>18</v>
      </c>
      <c r="M1859" t="str">
        <f>"20120830"</f>
        <v>20120830</v>
      </c>
    </row>
    <row r="1860" spans="1:13" x14ac:dyDescent="0.25">
      <c r="A1860" t="str">
        <f>"00738150"</f>
        <v>00738150</v>
      </c>
      <c r="B1860" t="s">
        <v>4041</v>
      </c>
      <c r="C1860" t="s">
        <v>218</v>
      </c>
      <c r="D1860" t="s">
        <v>21</v>
      </c>
      <c r="E1860" t="s">
        <v>26</v>
      </c>
      <c r="F1860" t="s">
        <v>17</v>
      </c>
      <c r="G1860" t="str">
        <f>"02"</f>
        <v>02</v>
      </c>
      <c r="H1860" t="str">
        <f>"3  "</f>
        <v xml:space="preserve">3  </v>
      </c>
      <c r="I1860" t="str">
        <f>"2016/08/24"</f>
        <v>2016/08/24</v>
      </c>
      <c r="J1860" t="str">
        <f>"110"</f>
        <v>110</v>
      </c>
      <c r="K1860" t="str">
        <f>"20210328"</f>
        <v>20210328</v>
      </c>
      <c r="L1860" t="s">
        <v>18</v>
      </c>
      <c r="M1860" t="str">
        <f>"20151230"</f>
        <v>20151230</v>
      </c>
    </row>
    <row r="1861" spans="1:13" x14ac:dyDescent="0.25">
      <c r="A1861" t="str">
        <f>"00524661"</f>
        <v>00524661</v>
      </c>
      <c r="B1861" t="s">
        <v>4041</v>
      </c>
      <c r="C1861" t="s">
        <v>4042</v>
      </c>
      <c r="D1861" t="s">
        <v>21</v>
      </c>
      <c r="E1861" t="s">
        <v>26</v>
      </c>
      <c r="F1861" t="s">
        <v>17</v>
      </c>
      <c r="G1861" t="str">
        <f>"02"</f>
        <v>02</v>
      </c>
      <c r="H1861" t="str">
        <f>"3  "</f>
        <v xml:space="preserve">3  </v>
      </c>
      <c r="I1861" t="str">
        <f>"2011/02/04"</f>
        <v>2011/02/04</v>
      </c>
      <c r="J1861" t="str">
        <f>"510"</f>
        <v>510</v>
      </c>
      <c r="K1861" t="str">
        <f>"20301209"</f>
        <v>20301209</v>
      </c>
      <c r="L1861" t="s">
        <v>18</v>
      </c>
      <c r="M1861" t="str">
        <f>"20091219"</f>
        <v>20091219</v>
      </c>
    </row>
    <row r="1862" spans="1:13" x14ac:dyDescent="0.25">
      <c r="A1862" t="str">
        <f>"00523047"</f>
        <v>00523047</v>
      </c>
      <c r="B1862" t="s">
        <v>4044</v>
      </c>
      <c r="C1862" t="s">
        <v>136</v>
      </c>
      <c r="D1862" t="s">
        <v>53</v>
      </c>
      <c r="E1862" t="s">
        <v>26</v>
      </c>
      <c r="F1862" t="s">
        <v>17</v>
      </c>
      <c r="G1862" t="str">
        <f>"02"</f>
        <v>02</v>
      </c>
      <c r="H1862" t="str">
        <f>"3  "</f>
        <v xml:space="preserve">3  </v>
      </c>
      <c r="I1862" t="str">
        <f>"2015/12/11"</f>
        <v>2015/12/11</v>
      </c>
      <c r="J1862" t="str">
        <f>"110"</f>
        <v>110</v>
      </c>
      <c r="K1862" t="str">
        <f>"20330722"</f>
        <v>20330722</v>
      </c>
      <c r="L1862" t="s">
        <v>18</v>
      </c>
      <c r="M1862" t="str">
        <f>"20150912"</f>
        <v>20150912</v>
      </c>
    </row>
    <row r="1863" spans="1:13" x14ac:dyDescent="0.25">
      <c r="A1863" t="str">
        <f>"00543918"</f>
        <v>00543918</v>
      </c>
      <c r="B1863" t="s">
        <v>4044</v>
      </c>
      <c r="C1863" t="s">
        <v>49</v>
      </c>
      <c r="D1863" t="s">
        <v>21</v>
      </c>
      <c r="E1863" t="s">
        <v>26</v>
      </c>
      <c r="F1863" t="s">
        <v>17</v>
      </c>
      <c r="G1863" t="str">
        <f>"02"</f>
        <v>02</v>
      </c>
      <c r="H1863" t="str">
        <f>"3  "</f>
        <v xml:space="preserve">3  </v>
      </c>
      <c r="I1863" t="str">
        <f>"2012/12/18"</f>
        <v>2012/12/18</v>
      </c>
      <c r="J1863" t="str">
        <f>"110"</f>
        <v>110</v>
      </c>
      <c r="K1863" t="str">
        <f>"20220515"</f>
        <v>20220515</v>
      </c>
      <c r="L1863" t="s">
        <v>18</v>
      </c>
      <c r="M1863" t="str">
        <f>"20120918"</f>
        <v>20120918</v>
      </c>
    </row>
    <row r="1864" spans="1:13" x14ac:dyDescent="0.25">
      <c r="A1864" t="str">
        <f>"00502147"</f>
        <v>00502147</v>
      </c>
      <c r="B1864" t="s">
        <v>4047</v>
      </c>
      <c r="C1864" t="s">
        <v>181</v>
      </c>
      <c r="D1864" t="s">
        <v>25</v>
      </c>
      <c r="E1864" t="s">
        <v>26</v>
      </c>
      <c r="F1864" t="s">
        <v>17</v>
      </c>
      <c r="G1864" t="str">
        <f>"02"</f>
        <v>02</v>
      </c>
      <c r="H1864" t="str">
        <f>"3  "</f>
        <v xml:space="preserve">3  </v>
      </c>
      <c r="I1864" t="str">
        <f>"2005/02/23"</f>
        <v>2005/02/23</v>
      </c>
      <c r="J1864" t="str">
        <f>"510"</f>
        <v>510</v>
      </c>
      <c r="K1864" t="str">
        <f>"21460222"</f>
        <v>21460222</v>
      </c>
      <c r="L1864" t="s">
        <v>18</v>
      </c>
      <c r="M1864" t="str">
        <f>"20030312"</f>
        <v>20030312</v>
      </c>
    </row>
    <row r="1865" spans="1:13" x14ac:dyDescent="0.25">
      <c r="A1865" t="str">
        <f>"00382940"</f>
        <v>00382940</v>
      </c>
      <c r="B1865" t="s">
        <v>4048</v>
      </c>
      <c r="C1865" t="s">
        <v>120</v>
      </c>
      <c r="D1865" t="s">
        <v>31</v>
      </c>
      <c r="E1865" t="s">
        <v>15</v>
      </c>
      <c r="F1865" t="s">
        <v>17</v>
      </c>
      <c r="G1865" t="str">
        <f>"02"</f>
        <v>02</v>
      </c>
      <c r="H1865" t="str">
        <f>"3  "</f>
        <v xml:space="preserve">3  </v>
      </c>
      <c r="I1865" t="str">
        <f>"2011/11/21"</f>
        <v>2011/11/21</v>
      </c>
      <c r="J1865" t="str">
        <f>"531"</f>
        <v>531</v>
      </c>
      <c r="K1865" t="str">
        <f>"20300329"</f>
        <v>20300329</v>
      </c>
      <c r="L1865" t="s">
        <v>18</v>
      </c>
      <c r="M1865" t="str">
        <f>"20071112"</f>
        <v>20071112</v>
      </c>
    </row>
    <row r="1866" spans="1:13" x14ac:dyDescent="0.25">
      <c r="A1866" t="str">
        <f>"00775346"</f>
        <v>00775346</v>
      </c>
      <c r="B1866" t="s">
        <v>4049</v>
      </c>
      <c r="C1866" t="s">
        <v>4050</v>
      </c>
      <c r="D1866" t="s">
        <v>25</v>
      </c>
      <c r="E1866" t="s">
        <v>26</v>
      </c>
      <c r="F1866" t="s">
        <v>17</v>
      </c>
      <c r="G1866" t="str">
        <f>"02"</f>
        <v>02</v>
      </c>
      <c r="H1866" t="str">
        <f>"3  "</f>
        <v xml:space="preserve">3  </v>
      </c>
      <c r="I1866" t="str">
        <f>"2017/08/11"</f>
        <v>2017/08/11</v>
      </c>
      <c r="J1866" t="str">
        <f>"503"</f>
        <v>503</v>
      </c>
      <c r="K1866" t="str">
        <f>"20241110"</f>
        <v>20241110</v>
      </c>
      <c r="L1866" t="s">
        <v>18</v>
      </c>
      <c r="M1866" t="str">
        <f>"20140821"</f>
        <v>20140821</v>
      </c>
    </row>
    <row r="1867" spans="1:13" x14ac:dyDescent="0.25">
      <c r="A1867" t="str">
        <f>"00183898"</f>
        <v>00183898</v>
      </c>
      <c r="B1867" t="s">
        <v>4051</v>
      </c>
      <c r="C1867" t="s">
        <v>785</v>
      </c>
      <c r="D1867" t="s">
        <v>16</v>
      </c>
      <c r="E1867" t="s">
        <v>26</v>
      </c>
      <c r="F1867" t="s">
        <v>17</v>
      </c>
      <c r="G1867" t="str">
        <f>"02"</f>
        <v>02</v>
      </c>
      <c r="H1867" t="str">
        <f>"7  "</f>
        <v xml:space="preserve">7  </v>
      </c>
      <c r="I1867" t="str">
        <f>"1990/08/14"</f>
        <v>1990/08/14</v>
      </c>
      <c r="J1867" t="str">
        <f>"114"</f>
        <v>114</v>
      </c>
      <c r="K1867" t="s">
        <v>18</v>
      </c>
      <c r="L1867" t="str">
        <f>"20201119"</f>
        <v>20201119</v>
      </c>
      <c r="M1867" t="str">
        <f>"19890809"</f>
        <v>19890809</v>
      </c>
    </row>
    <row r="1868" spans="1:13" x14ac:dyDescent="0.25">
      <c r="A1868" t="str">
        <f>"00741643"</f>
        <v>00741643</v>
      </c>
      <c r="B1868" t="s">
        <v>4051</v>
      </c>
      <c r="C1868" t="s">
        <v>4054</v>
      </c>
      <c r="D1868" t="s">
        <v>25</v>
      </c>
      <c r="E1868" t="s">
        <v>26</v>
      </c>
      <c r="F1868" t="s">
        <v>17</v>
      </c>
      <c r="G1868" t="str">
        <f>"02"</f>
        <v>02</v>
      </c>
      <c r="H1868" t="str">
        <f>"3  "</f>
        <v xml:space="preserve">3  </v>
      </c>
      <c r="I1868" t="str">
        <f>"2018/02/16"</f>
        <v>2018/02/16</v>
      </c>
      <c r="J1868" t="str">
        <f>"110"</f>
        <v>110</v>
      </c>
      <c r="K1868" t="str">
        <f>"20230908"</f>
        <v>20230908</v>
      </c>
      <c r="L1868" t="s">
        <v>18</v>
      </c>
      <c r="M1868" t="str">
        <f>"20170411"</f>
        <v>20170411</v>
      </c>
    </row>
    <row r="1869" spans="1:13" x14ac:dyDescent="0.25">
      <c r="A1869" t="str">
        <f>"00304539"</f>
        <v>00304539</v>
      </c>
      <c r="B1869" t="s">
        <v>4051</v>
      </c>
      <c r="C1869" t="s">
        <v>3639</v>
      </c>
      <c r="D1869" t="s">
        <v>51</v>
      </c>
      <c r="E1869" t="s">
        <v>26</v>
      </c>
      <c r="F1869" t="s">
        <v>17</v>
      </c>
      <c r="G1869" t="str">
        <f>"02"</f>
        <v>02</v>
      </c>
      <c r="H1869" t="str">
        <f>"3  "</f>
        <v xml:space="preserve">3  </v>
      </c>
      <c r="I1869" t="str">
        <f>"2008/01/28"</f>
        <v>2008/01/28</v>
      </c>
      <c r="J1869" t="str">
        <f>"510"</f>
        <v>510</v>
      </c>
      <c r="K1869" t="str">
        <f>"20540810"</f>
        <v>20540810</v>
      </c>
      <c r="L1869" t="s">
        <v>18</v>
      </c>
      <c r="M1869" t="str">
        <f>"20051215"</f>
        <v>20051215</v>
      </c>
    </row>
    <row r="1870" spans="1:13" x14ac:dyDescent="0.25">
      <c r="A1870" t="str">
        <f>"00823007"</f>
        <v>00823007</v>
      </c>
      <c r="B1870" t="s">
        <v>4058</v>
      </c>
      <c r="C1870" t="s">
        <v>648</v>
      </c>
      <c r="D1870" t="s">
        <v>31</v>
      </c>
      <c r="E1870" t="s">
        <v>26</v>
      </c>
      <c r="F1870" t="s">
        <v>17</v>
      </c>
      <c r="G1870" t="str">
        <f>"02"</f>
        <v>02</v>
      </c>
      <c r="H1870" t="str">
        <f>"3  "</f>
        <v xml:space="preserve">3  </v>
      </c>
      <c r="I1870" t="str">
        <f>"2020/03/13"</f>
        <v>2020/03/13</v>
      </c>
      <c r="J1870" t="str">
        <f>"510"</f>
        <v>510</v>
      </c>
      <c r="K1870" t="str">
        <f>"20251206"</f>
        <v>20251206</v>
      </c>
      <c r="L1870" t="s">
        <v>18</v>
      </c>
      <c r="M1870" t="str">
        <f>"20190819"</f>
        <v>20190819</v>
      </c>
    </row>
    <row r="1871" spans="1:13" x14ac:dyDescent="0.25">
      <c r="A1871" t="str">
        <f>"00249325"</f>
        <v>00249325</v>
      </c>
      <c r="B1871" t="s">
        <v>4067</v>
      </c>
      <c r="C1871" t="s">
        <v>369</v>
      </c>
      <c r="D1871" t="s">
        <v>15</v>
      </c>
      <c r="E1871" t="s">
        <v>16</v>
      </c>
      <c r="F1871" t="s">
        <v>17</v>
      </c>
      <c r="G1871" t="str">
        <f>"02"</f>
        <v>02</v>
      </c>
      <c r="H1871" t="str">
        <f>"7  "</f>
        <v xml:space="preserve">7  </v>
      </c>
      <c r="I1871" t="str">
        <f>"1999/01/11"</f>
        <v>1999/01/11</v>
      </c>
      <c r="J1871" t="str">
        <f>"503"</f>
        <v>503</v>
      </c>
      <c r="K1871" t="s">
        <v>18</v>
      </c>
      <c r="L1871" t="s">
        <v>18</v>
      </c>
      <c r="M1871" t="str">
        <f>"19960501"</f>
        <v>19960501</v>
      </c>
    </row>
    <row r="1872" spans="1:13" x14ac:dyDescent="0.25">
      <c r="A1872" t="str">
        <f>"00116417"</f>
        <v>00116417</v>
      </c>
      <c r="B1872" t="s">
        <v>4069</v>
      </c>
      <c r="C1872" t="s">
        <v>125</v>
      </c>
      <c r="D1872" t="s">
        <v>51</v>
      </c>
      <c r="E1872" t="s">
        <v>16</v>
      </c>
      <c r="F1872" t="s">
        <v>17</v>
      </c>
      <c r="G1872" t="str">
        <f>"02"</f>
        <v>02</v>
      </c>
      <c r="H1872" t="str">
        <f>"7  "</f>
        <v xml:space="preserve">7  </v>
      </c>
      <c r="I1872" t="str">
        <f>"2004/05/19"</f>
        <v>2004/05/19</v>
      </c>
      <c r="J1872" t="str">
        <f>"503"</f>
        <v>503</v>
      </c>
      <c r="K1872" t="s">
        <v>18</v>
      </c>
      <c r="L1872" t="str">
        <f>"20080912"</f>
        <v>20080912</v>
      </c>
      <c r="M1872" t="str">
        <f>"19881201"</f>
        <v>19881201</v>
      </c>
    </row>
    <row r="1873" spans="1:13" x14ac:dyDescent="0.25">
      <c r="A1873" t="str">
        <f>"00757573"</f>
        <v>00757573</v>
      </c>
      <c r="B1873" t="s">
        <v>4072</v>
      </c>
      <c r="C1873" t="s">
        <v>4073</v>
      </c>
      <c r="D1873" t="s">
        <v>107</v>
      </c>
      <c r="E1873" t="s">
        <v>26</v>
      </c>
      <c r="F1873" t="s">
        <v>17</v>
      </c>
      <c r="G1873" t="str">
        <f>"02"</f>
        <v>02</v>
      </c>
      <c r="H1873" t="str">
        <f>"3  "</f>
        <v xml:space="preserve">3  </v>
      </c>
      <c r="I1873" t="str">
        <f>"2020/01/06"</f>
        <v>2020/01/06</v>
      </c>
      <c r="J1873" t="str">
        <f>"510"</f>
        <v>510</v>
      </c>
      <c r="K1873" t="str">
        <f>"20201004"</f>
        <v>20201004</v>
      </c>
      <c r="L1873" t="s">
        <v>18</v>
      </c>
      <c r="M1873" t="str">
        <f>"20160609"</f>
        <v>20160609</v>
      </c>
    </row>
    <row r="1874" spans="1:13" x14ac:dyDescent="0.25">
      <c r="A1874" t="str">
        <f>"00284151"</f>
        <v>00284151</v>
      </c>
      <c r="B1874" t="s">
        <v>19</v>
      </c>
      <c r="C1874" t="s">
        <v>22</v>
      </c>
      <c r="D1874" t="s">
        <v>15</v>
      </c>
      <c r="E1874" t="s">
        <v>16</v>
      </c>
      <c r="F1874" t="s">
        <v>17</v>
      </c>
      <c r="G1874" t="str">
        <f>"03"</f>
        <v>03</v>
      </c>
      <c r="H1874" t="str">
        <f>"3  "</f>
        <v xml:space="preserve">3  </v>
      </c>
      <c r="I1874" t="str">
        <f>"2017/12/21"</f>
        <v>2017/12/21</v>
      </c>
      <c r="J1874" t="str">
        <f>"506"</f>
        <v>506</v>
      </c>
      <c r="K1874" t="str">
        <f>"20340918"</f>
        <v>20340918</v>
      </c>
      <c r="L1874" t="s">
        <v>18</v>
      </c>
      <c r="M1874" t="str">
        <f>"20171127"</f>
        <v>20171127</v>
      </c>
    </row>
    <row r="1875" spans="1:13" x14ac:dyDescent="0.25">
      <c r="A1875" t="str">
        <f>"00313794"</f>
        <v>00313794</v>
      </c>
      <c r="B1875" t="s">
        <v>23</v>
      </c>
      <c r="C1875" t="s">
        <v>24</v>
      </c>
      <c r="D1875" t="s">
        <v>25</v>
      </c>
      <c r="E1875" t="s">
        <v>26</v>
      </c>
      <c r="F1875" t="s">
        <v>17</v>
      </c>
      <c r="G1875" t="str">
        <f>"03"</f>
        <v>03</v>
      </c>
      <c r="H1875" t="str">
        <f>"3  "</f>
        <v xml:space="preserve">3  </v>
      </c>
      <c r="I1875" t="str">
        <f>"2020/08/26"</f>
        <v>2020/08/26</v>
      </c>
      <c r="J1875" t="str">
        <f>"502"</f>
        <v>502</v>
      </c>
      <c r="K1875" t="str">
        <f>"20360804"</f>
        <v>20360804</v>
      </c>
      <c r="L1875" t="s">
        <v>18</v>
      </c>
      <c r="M1875" t="str">
        <f>"20061012"</f>
        <v>20061012</v>
      </c>
    </row>
    <row r="1876" spans="1:13" x14ac:dyDescent="0.25">
      <c r="A1876" t="str">
        <f>"00638204"</f>
        <v>00638204</v>
      </c>
      <c r="B1876" t="s">
        <v>35</v>
      </c>
      <c r="C1876" t="s">
        <v>36</v>
      </c>
      <c r="D1876" t="s">
        <v>37</v>
      </c>
      <c r="E1876" t="s">
        <v>16</v>
      </c>
      <c r="F1876" t="s">
        <v>17</v>
      </c>
      <c r="G1876" t="str">
        <f>"03"</f>
        <v>03</v>
      </c>
      <c r="H1876" t="str">
        <f>"0  "</f>
        <v xml:space="preserve">0  </v>
      </c>
      <c r="I1876" t="str">
        <f>"2020/01/26"</f>
        <v>2020/01/26</v>
      </c>
      <c r="J1876" t="str">
        <f>"410"</f>
        <v>410</v>
      </c>
      <c r="K1876" t="s">
        <v>18</v>
      </c>
      <c r="L1876" t="s">
        <v>18</v>
      </c>
      <c r="M1876" t="s">
        <v>18</v>
      </c>
    </row>
    <row r="1877" spans="1:13" x14ac:dyDescent="0.25">
      <c r="A1877" t="str">
        <f>"00249394"</f>
        <v>00249394</v>
      </c>
      <c r="B1877" t="s">
        <v>46</v>
      </c>
      <c r="C1877" t="s">
        <v>52</v>
      </c>
      <c r="D1877" t="s">
        <v>53</v>
      </c>
      <c r="E1877" t="s">
        <v>26</v>
      </c>
      <c r="F1877" t="s">
        <v>17</v>
      </c>
      <c r="G1877" t="str">
        <f>"03"</f>
        <v>03</v>
      </c>
      <c r="H1877" t="str">
        <f>"3  "</f>
        <v xml:space="preserve">3  </v>
      </c>
      <c r="I1877" t="str">
        <f>"2019/02/03"</f>
        <v>2019/02/03</v>
      </c>
      <c r="J1877" t="str">
        <f>"110"</f>
        <v>110</v>
      </c>
      <c r="K1877" t="str">
        <f>"20270619"</f>
        <v>20270619</v>
      </c>
      <c r="L1877" t="s">
        <v>18</v>
      </c>
      <c r="M1877" t="str">
        <f>"20180905"</f>
        <v>20180905</v>
      </c>
    </row>
    <row r="1878" spans="1:13" x14ac:dyDescent="0.25">
      <c r="A1878" t="str">
        <f>"00252296"</f>
        <v>00252296</v>
      </c>
      <c r="B1878" t="s">
        <v>56</v>
      </c>
      <c r="C1878" t="s">
        <v>62</v>
      </c>
      <c r="D1878" t="s">
        <v>40</v>
      </c>
      <c r="E1878" t="s">
        <v>26</v>
      </c>
      <c r="F1878" t="s">
        <v>17</v>
      </c>
      <c r="G1878" t="str">
        <f>"03"</f>
        <v>03</v>
      </c>
      <c r="H1878" t="str">
        <f>"3  "</f>
        <v xml:space="preserve">3  </v>
      </c>
      <c r="I1878" t="str">
        <f>"2015/10/22"</f>
        <v>2015/10/22</v>
      </c>
      <c r="J1878" t="str">
        <f>"110"</f>
        <v>110</v>
      </c>
      <c r="K1878" t="str">
        <f>"20290226"</f>
        <v>20290226</v>
      </c>
      <c r="L1878" t="s">
        <v>18</v>
      </c>
      <c r="M1878" t="str">
        <f>"20150215"</f>
        <v>20150215</v>
      </c>
    </row>
    <row r="1879" spans="1:13" x14ac:dyDescent="0.25">
      <c r="A1879" t="str">
        <f>"00526699"</f>
        <v>00526699</v>
      </c>
      <c r="B1879" t="s">
        <v>81</v>
      </c>
      <c r="C1879" t="s">
        <v>83</v>
      </c>
      <c r="D1879" t="s">
        <v>40</v>
      </c>
      <c r="E1879" t="s">
        <v>26</v>
      </c>
      <c r="F1879" t="s">
        <v>17</v>
      </c>
      <c r="G1879" t="str">
        <f>"03"</f>
        <v>03</v>
      </c>
      <c r="H1879" t="str">
        <f>"3  "</f>
        <v xml:space="preserve">3  </v>
      </c>
      <c r="I1879" t="str">
        <f>"2020/07/24"</f>
        <v>2020/07/24</v>
      </c>
      <c r="J1879" t="str">
        <f>"502"</f>
        <v>502</v>
      </c>
      <c r="K1879" t="str">
        <f>"20231211"</f>
        <v>20231211</v>
      </c>
      <c r="L1879" t="s">
        <v>18</v>
      </c>
      <c r="M1879" t="str">
        <f>"20190528"</f>
        <v>20190528</v>
      </c>
    </row>
    <row r="1880" spans="1:13" x14ac:dyDescent="0.25">
      <c r="A1880" t="str">
        <f>"00592166"</f>
        <v>00592166</v>
      </c>
      <c r="B1880" t="s">
        <v>98</v>
      </c>
      <c r="C1880" t="s">
        <v>59</v>
      </c>
      <c r="D1880" t="s">
        <v>16</v>
      </c>
      <c r="E1880" t="s">
        <v>16</v>
      </c>
      <c r="F1880" t="s">
        <v>17</v>
      </c>
      <c r="G1880" t="str">
        <f>"03"</f>
        <v>03</v>
      </c>
      <c r="H1880" t="str">
        <f>"0  "</f>
        <v xml:space="preserve">0  </v>
      </c>
      <c r="I1880" t="str">
        <f>"2020/09/21"</f>
        <v>2020/09/21</v>
      </c>
      <c r="J1880" t="str">
        <f>"410"</f>
        <v>410</v>
      </c>
      <c r="K1880" t="s">
        <v>18</v>
      </c>
      <c r="L1880" t="s">
        <v>18</v>
      </c>
      <c r="M1880" t="s">
        <v>18</v>
      </c>
    </row>
    <row r="1881" spans="1:13" x14ac:dyDescent="0.25">
      <c r="A1881" t="str">
        <f>"00689855"</f>
        <v>00689855</v>
      </c>
      <c r="B1881" t="s">
        <v>114</v>
      </c>
      <c r="C1881" t="s">
        <v>120</v>
      </c>
      <c r="D1881" t="s">
        <v>15</v>
      </c>
      <c r="E1881" t="s">
        <v>16</v>
      </c>
      <c r="F1881" t="s">
        <v>17</v>
      </c>
      <c r="G1881" t="str">
        <f>"03"</f>
        <v>03</v>
      </c>
      <c r="H1881" t="str">
        <f>"3  "</f>
        <v xml:space="preserve">3  </v>
      </c>
      <c r="I1881" t="str">
        <f>"2020/04/15"</f>
        <v>2020/04/15</v>
      </c>
      <c r="J1881" t="str">
        <f>"110"</f>
        <v>110</v>
      </c>
      <c r="K1881" t="str">
        <f>"20210527"</f>
        <v>20210527</v>
      </c>
      <c r="L1881" t="s">
        <v>18</v>
      </c>
      <c r="M1881" t="str">
        <f>"20190823"</f>
        <v>20190823</v>
      </c>
    </row>
    <row r="1882" spans="1:13" x14ac:dyDescent="0.25">
      <c r="A1882" t="str">
        <f>"00488054"</f>
        <v>00488054</v>
      </c>
      <c r="B1882" t="s">
        <v>114</v>
      </c>
      <c r="C1882" t="s">
        <v>122</v>
      </c>
      <c r="D1882" t="s">
        <v>25</v>
      </c>
      <c r="E1882" t="s">
        <v>26</v>
      </c>
      <c r="F1882" t="s">
        <v>17</v>
      </c>
      <c r="G1882" t="str">
        <f>"03"</f>
        <v>03</v>
      </c>
      <c r="H1882" t="str">
        <f>"3  "</f>
        <v xml:space="preserve">3  </v>
      </c>
      <c r="I1882" t="str">
        <f>"2018/09/19"</f>
        <v>2018/09/19</v>
      </c>
      <c r="J1882" t="str">
        <f>"110"</f>
        <v>110</v>
      </c>
      <c r="K1882" t="str">
        <f>"20221012"</f>
        <v>20221012</v>
      </c>
      <c r="L1882" t="s">
        <v>18</v>
      </c>
      <c r="M1882" t="str">
        <f>"20180610"</f>
        <v>20180610</v>
      </c>
    </row>
    <row r="1883" spans="1:13" x14ac:dyDescent="0.25">
      <c r="A1883" t="str">
        <f>"00352873"</f>
        <v>00352873</v>
      </c>
      <c r="B1883" t="s">
        <v>134</v>
      </c>
      <c r="C1883" t="s">
        <v>137</v>
      </c>
      <c r="D1883" t="s">
        <v>51</v>
      </c>
      <c r="E1883" t="s">
        <v>16</v>
      </c>
      <c r="F1883" t="s">
        <v>17</v>
      </c>
      <c r="G1883" t="str">
        <f>"03"</f>
        <v>03</v>
      </c>
      <c r="H1883" t="str">
        <f>"0  "</f>
        <v xml:space="preserve">0  </v>
      </c>
      <c r="I1883" t="str">
        <f>"2019/07/02"</f>
        <v>2019/07/02</v>
      </c>
      <c r="J1883" t="str">
        <f>"420"</f>
        <v>420</v>
      </c>
      <c r="K1883" t="s">
        <v>18</v>
      </c>
      <c r="L1883" t="s">
        <v>18</v>
      </c>
      <c r="M1883" t="s">
        <v>18</v>
      </c>
    </row>
    <row r="1884" spans="1:13" x14ac:dyDescent="0.25">
      <c r="A1884" t="str">
        <f>"00217229"</f>
        <v>00217229</v>
      </c>
      <c r="B1884" t="s">
        <v>134</v>
      </c>
      <c r="C1884" t="s">
        <v>138</v>
      </c>
      <c r="D1884" t="s">
        <v>25</v>
      </c>
      <c r="E1884" t="s">
        <v>26</v>
      </c>
      <c r="F1884" t="s">
        <v>17</v>
      </c>
      <c r="G1884" t="str">
        <f>"03"</f>
        <v>03</v>
      </c>
      <c r="H1884" t="str">
        <f>"3  "</f>
        <v xml:space="preserve">3  </v>
      </c>
      <c r="I1884" t="str">
        <f>"2020/09/09"</f>
        <v>2020/09/09</v>
      </c>
      <c r="J1884" t="str">
        <f>"502"</f>
        <v>502</v>
      </c>
      <c r="K1884" t="str">
        <f>"20210906"</f>
        <v>20210906</v>
      </c>
      <c r="L1884" t="s">
        <v>18</v>
      </c>
      <c r="M1884" t="str">
        <f>"20191106"</f>
        <v>20191106</v>
      </c>
    </row>
    <row r="1885" spans="1:13" x14ac:dyDescent="0.25">
      <c r="A1885" t="str">
        <f>"00699866"</f>
        <v>00699866</v>
      </c>
      <c r="B1885" t="s">
        <v>145</v>
      </c>
      <c r="C1885" t="s">
        <v>146</v>
      </c>
      <c r="D1885" t="s">
        <v>80</v>
      </c>
      <c r="E1885" t="s">
        <v>16</v>
      </c>
      <c r="F1885" t="s">
        <v>17</v>
      </c>
      <c r="G1885" t="str">
        <f>"03"</f>
        <v>03</v>
      </c>
      <c r="H1885" t="str">
        <f>"0  "</f>
        <v xml:space="preserve">0  </v>
      </c>
      <c r="I1885" t="str">
        <f>"2020/01/04"</f>
        <v>2020/01/04</v>
      </c>
      <c r="J1885" t="str">
        <f>"410"</f>
        <v>410</v>
      </c>
      <c r="K1885" t="s">
        <v>18</v>
      </c>
      <c r="L1885" t="s">
        <v>18</v>
      </c>
      <c r="M1885" t="s">
        <v>18</v>
      </c>
    </row>
    <row r="1886" spans="1:13" x14ac:dyDescent="0.25">
      <c r="A1886" t="str">
        <f>"00310444"</f>
        <v>00310444</v>
      </c>
      <c r="B1886" t="s">
        <v>153</v>
      </c>
      <c r="C1886" t="s">
        <v>60</v>
      </c>
      <c r="D1886" t="s">
        <v>25</v>
      </c>
      <c r="E1886" t="s">
        <v>26</v>
      </c>
      <c r="F1886" t="s">
        <v>17</v>
      </c>
      <c r="G1886" t="str">
        <f>"03"</f>
        <v>03</v>
      </c>
      <c r="H1886" t="str">
        <f>"1  "</f>
        <v xml:space="preserve">1  </v>
      </c>
      <c r="I1886" t="str">
        <f>"2020/09/11"</f>
        <v>2020/09/11</v>
      </c>
      <c r="J1886" t="str">
        <f>"110"</f>
        <v>110</v>
      </c>
      <c r="K1886" t="str">
        <f>"20210226"</f>
        <v>20210226</v>
      </c>
      <c r="L1886" t="s">
        <v>18</v>
      </c>
      <c r="M1886" t="str">
        <f>"20200911"</f>
        <v>20200911</v>
      </c>
    </row>
    <row r="1887" spans="1:13" x14ac:dyDescent="0.25">
      <c r="A1887" t="str">
        <f>"00510836"</f>
        <v>00510836</v>
      </c>
      <c r="B1887" t="s">
        <v>177</v>
      </c>
      <c r="C1887" t="s">
        <v>178</v>
      </c>
      <c r="D1887" t="s">
        <v>179</v>
      </c>
      <c r="E1887" t="s">
        <v>26</v>
      </c>
      <c r="F1887" t="s">
        <v>17</v>
      </c>
      <c r="G1887" t="str">
        <f>"03"</f>
        <v>03</v>
      </c>
      <c r="H1887" t="str">
        <f>"1  "</f>
        <v xml:space="preserve">1  </v>
      </c>
      <c r="I1887" t="str">
        <f>"2020/02/13"</f>
        <v>2020/02/13</v>
      </c>
      <c r="J1887" t="str">
        <f>"120"</f>
        <v>120</v>
      </c>
      <c r="K1887" t="str">
        <f>"20210112"</f>
        <v>20210112</v>
      </c>
      <c r="L1887" t="s">
        <v>18</v>
      </c>
      <c r="M1887" t="str">
        <f>"20200207"</f>
        <v>20200207</v>
      </c>
    </row>
    <row r="1888" spans="1:13" x14ac:dyDescent="0.25">
      <c r="A1888" t="str">
        <f>"00437034"</f>
        <v>00437034</v>
      </c>
      <c r="B1888" t="s">
        <v>193</v>
      </c>
      <c r="C1888" t="s">
        <v>125</v>
      </c>
      <c r="D1888" t="s">
        <v>16</v>
      </c>
      <c r="E1888" t="s">
        <v>16</v>
      </c>
      <c r="F1888" t="s">
        <v>17</v>
      </c>
      <c r="G1888" t="str">
        <f>"03"</f>
        <v>03</v>
      </c>
      <c r="H1888" t="str">
        <f>"0  "</f>
        <v xml:space="preserve">0  </v>
      </c>
      <c r="I1888" t="str">
        <f>"2020/09/16"</f>
        <v>2020/09/16</v>
      </c>
      <c r="J1888" t="str">
        <f>"410"</f>
        <v>410</v>
      </c>
      <c r="K1888" t="s">
        <v>18</v>
      </c>
      <c r="L1888" t="s">
        <v>18</v>
      </c>
      <c r="M1888" t="s">
        <v>18</v>
      </c>
    </row>
    <row r="1889" spans="1:13" x14ac:dyDescent="0.25">
      <c r="A1889" t="str">
        <f>"00522896"</f>
        <v>00522896</v>
      </c>
      <c r="B1889" t="s">
        <v>210</v>
      </c>
      <c r="C1889" t="s">
        <v>211</v>
      </c>
      <c r="D1889" t="s">
        <v>15</v>
      </c>
      <c r="E1889" t="s">
        <v>26</v>
      </c>
      <c r="F1889" t="s">
        <v>17</v>
      </c>
      <c r="G1889" t="str">
        <f>"03"</f>
        <v>03</v>
      </c>
      <c r="H1889" t="str">
        <f>"3  "</f>
        <v xml:space="preserve">3  </v>
      </c>
      <c r="I1889" t="str">
        <f>"2019/11/07"</f>
        <v>2019/11/07</v>
      </c>
      <c r="J1889" t="str">
        <f>"510"</f>
        <v>510</v>
      </c>
      <c r="K1889" t="str">
        <f>"20390905"</f>
        <v>20390905</v>
      </c>
      <c r="L1889" t="s">
        <v>18</v>
      </c>
      <c r="M1889" t="str">
        <f>"20120911"</f>
        <v>20120911</v>
      </c>
    </row>
    <row r="1890" spans="1:13" x14ac:dyDescent="0.25">
      <c r="A1890" t="str">
        <f>"00278834"</f>
        <v>00278834</v>
      </c>
      <c r="B1890" t="s">
        <v>214</v>
      </c>
      <c r="C1890" t="s">
        <v>118</v>
      </c>
      <c r="D1890" t="s">
        <v>215</v>
      </c>
      <c r="E1890" t="s">
        <v>26</v>
      </c>
      <c r="F1890" t="s">
        <v>17</v>
      </c>
      <c r="G1890" t="str">
        <f>"03"</f>
        <v>03</v>
      </c>
      <c r="H1890" t="str">
        <f>"0  "</f>
        <v xml:space="preserve">0  </v>
      </c>
      <c r="I1890" t="str">
        <f>"2020/09/15"</f>
        <v>2020/09/15</v>
      </c>
      <c r="J1890" t="str">
        <f>"410"</f>
        <v>410</v>
      </c>
      <c r="K1890" t="s">
        <v>18</v>
      </c>
      <c r="L1890" t="s">
        <v>18</v>
      </c>
      <c r="M1890" t="s">
        <v>18</v>
      </c>
    </row>
    <row r="1891" spans="1:13" x14ac:dyDescent="0.25">
      <c r="A1891" t="str">
        <f>"00646598"</f>
        <v>00646598</v>
      </c>
      <c r="B1891" t="s">
        <v>214</v>
      </c>
      <c r="C1891" t="s">
        <v>136</v>
      </c>
      <c r="D1891" t="s">
        <v>25</v>
      </c>
      <c r="E1891" t="s">
        <v>26</v>
      </c>
      <c r="F1891" t="s">
        <v>17</v>
      </c>
      <c r="G1891" t="str">
        <f>"03"</f>
        <v>03</v>
      </c>
      <c r="H1891" t="str">
        <f>"3  "</f>
        <v xml:space="preserve">3  </v>
      </c>
      <c r="I1891" t="str">
        <f>"2018/11/28"</f>
        <v>2018/11/28</v>
      </c>
      <c r="J1891" t="str">
        <f>"110"</f>
        <v>110</v>
      </c>
      <c r="K1891" t="str">
        <f>"20220221"</f>
        <v>20220221</v>
      </c>
      <c r="L1891" t="s">
        <v>18</v>
      </c>
      <c r="M1891" t="str">
        <f>"20180418"</f>
        <v>20180418</v>
      </c>
    </row>
    <row r="1892" spans="1:13" x14ac:dyDescent="0.25">
      <c r="A1892" t="str">
        <f>"00379138"</f>
        <v>00379138</v>
      </c>
      <c r="B1892" t="s">
        <v>226</v>
      </c>
      <c r="C1892" t="s">
        <v>227</v>
      </c>
      <c r="D1892" t="s">
        <v>80</v>
      </c>
      <c r="E1892" t="s">
        <v>26</v>
      </c>
      <c r="F1892" t="s">
        <v>17</v>
      </c>
      <c r="G1892" t="str">
        <f>"03"</f>
        <v>03</v>
      </c>
      <c r="H1892" t="str">
        <f>"3  "</f>
        <v xml:space="preserve">3  </v>
      </c>
      <c r="I1892" t="str">
        <f>"2010/01/20"</f>
        <v>2010/01/20</v>
      </c>
      <c r="J1892" t="str">
        <f>"110"</f>
        <v>110</v>
      </c>
      <c r="K1892" t="str">
        <f>"20221202"</f>
        <v>20221202</v>
      </c>
      <c r="L1892" t="s">
        <v>18</v>
      </c>
      <c r="M1892" t="str">
        <f>"20090812"</f>
        <v>20090812</v>
      </c>
    </row>
    <row r="1893" spans="1:13" x14ac:dyDescent="0.25">
      <c r="A1893" t="str">
        <f>"00189415"</f>
        <v>00189415</v>
      </c>
      <c r="B1893" t="s">
        <v>226</v>
      </c>
      <c r="C1893" t="s">
        <v>228</v>
      </c>
      <c r="D1893" t="s">
        <v>26</v>
      </c>
      <c r="E1893" t="s">
        <v>16</v>
      </c>
      <c r="F1893" t="s">
        <v>17</v>
      </c>
      <c r="G1893" t="str">
        <f>"03"</f>
        <v>03</v>
      </c>
      <c r="H1893" t="str">
        <f>"1  "</f>
        <v xml:space="preserve">1  </v>
      </c>
      <c r="I1893" t="str">
        <f>"2020/08/09"</f>
        <v>2020/08/09</v>
      </c>
      <c r="J1893" t="str">
        <f>"110"</f>
        <v>110</v>
      </c>
      <c r="K1893" t="str">
        <f>"20201108"</f>
        <v>20201108</v>
      </c>
      <c r="L1893" t="s">
        <v>18</v>
      </c>
      <c r="M1893" t="str">
        <f>"20200623"</f>
        <v>20200623</v>
      </c>
    </row>
    <row r="1894" spans="1:13" x14ac:dyDescent="0.25">
      <c r="A1894" t="str">
        <f>"00822648"</f>
        <v>00822648</v>
      </c>
      <c r="B1894" t="s">
        <v>226</v>
      </c>
      <c r="C1894" t="s">
        <v>229</v>
      </c>
      <c r="D1894" t="s">
        <v>15</v>
      </c>
      <c r="E1894" t="s">
        <v>26</v>
      </c>
      <c r="F1894" t="s">
        <v>17</v>
      </c>
      <c r="G1894" t="str">
        <f>"03"</f>
        <v>03</v>
      </c>
      <c r="H1894" t="str">
        <f>"3  "</f>
        <v xml:space="preserve">3  </v>
      </c>
      <c r="I1894" t="str">
        <f>"2020/08/26"</f>
        <v>2020/08/26</v>
      </c>
      <c r="J1894" t="str">
        <f>"502"</f>
        <v>502</v>
      </c>
      <c r="K1894" t="str">
        <f>"20210823"</f>
        <v>20210823</v>
      </c>
      <c r="L1894" t="s">
        <v>18</v>
      </c>
      <c r="M1894" t="str">
        <f>"20191023"</f>
        <v>20191023</v>
      </c>
    </row>
    <row r="1895" spans="1:13" x14ac:dyDescent="0.25">
      <c r="A1895" t="str">
        <f>"00536347"</f>
        <v>00536347</v>
      </c>
      <c r="B1895" t="s">
        <v>242</v>
      </c>
      <c r="C1895" t="s">
        <v>246</v>
      </c>
      <c r="D1895" t="s">
        <v>15</v>
      </c>
      <c r="E1895" t="s">
        <v>16</v>
      </c>
      <c r="F1895" t="s">
        <v>17</v>
      </c>
      <c r="G1895" t="str">
        <f>"03"</f>
        <v>03</v>
      </c>
      <c r="H1895" t="str">
        <f>"3  "</f>
        <v xml:space="preserve">3  </v>
      </c>
      <c r="I1895" t="str">
        <f>"2019/07/30"</f>
        <v>2019/07/30</v>
      </c>
      <c r="J1895" t="str">
        <f>"110"</f>
        <v>110</v>
      </c>
      <c r="K1895" t="str">
        <f>"20460205"</f>
        <v>20460205</v>
      </c>
      <c r="L1895" t="s">
        <v>18</v>
      </c>
      <c r="M1895" t="str">
        <f>"20190220"</f>
        <v>20190220</v>
      </c>
    </row>
    <row r="1896" spans="1:13" x14ac:dyDescent="0.25">
      <c r="A1896" t="str">
        <f>"00204961"</f>
        <v>00204961</v>
      </c>
      <c r="B1896" t="s">
        <v>242</v>
      </c>
      <c r="C1896" t="s">
        <v>249</v>
      </c>
      <c r="D1896" t="s">
        <v>21</v>
      </c>
      <c r="E1896" t="s">
        <v>26</v>
      </c>
      <c r="F1896" t="s">
        <v>17</v>
      </c>
      <c r="G1896" t="str">
        <f>"03"</f>
        <v>03</v>
      </c>
      <c r="H1896" t="str">
        <f>"3  "</f>
        <v xml:space="preserve">3  </v>
      </c>
      <c r="I1896" t="str">
        <f>"2020/04/23"</f>
        <v>2020/04/23</v>
      </c>
      <c r="J1896" t="str">
        <f>"110"</f>
        <v>110</v>
      </c>
      <c r="K1896" t="str">
        <f>"20231011"</f>
        <v>20231011</v>
      </c>
      <c r="L1896" t="s">
        <v>18</v>
      </c>
      <c r="M1896" t="str">
        <f>"20200222"</f>
        <v>20200222</v>
      </c>
    </row>
    <row r="1897" spans="1:13" x14ac:dyDescent="0.25">
      <c r="A1897" t="str">
        <f>"00762125"</f>
        <v>00762125</v>
      </c>
      <c r="B1897" t="s">
        <v>242</v>
      </c>
      <c r="C1897" t="s">
        <v>251</v>
      </c>
      <c r="D1897" t="s">
        <v>61</v>
      </c>
      <c r="E1897" t="s">
        <v>26</v>
      </c>
      <c r="F1897" t="s">
        <v>17</v>
      </c>
      <c r="G1897" t="str">
        <f>"03"</f>
        <v>03</v>
      </c>
      <c r="H1897" t="str">
        <f>"3  "</f>
        <v xml:space="preserve">3  </v>
      </c>
      <c r="I1897" t="str">
        <f>"2014/11/18"</f>
        <v>2014/11/18</v>
      </c>
      <c r="J1897" t="str">
        <f>"110"</f>
        <v>110</v>
      </c>
      <c r="K1897" t="str">
        <f>"20580511"</f>
        <v>20580511</v>
      </c>
      <c r="L1897" t="s">
        <v>18</v>
      </c>
      <c r="M1897" t="str">
        <f>"20140212"</f>
        <v>20140212</v>
      </c>
    </row>
    <row r="1898" spans="1:13" x14ac:dyDescent="0.25">
      <c r="A1898" t="str">
        <f>"00630205"</f>
        <v>00630205</v>
      </c>
      <c r="B1898" t="s">
        <v>242</v>
      </c>
      <c r="C1898" t="s">
        <v>253</v>
      </c>
      <c r="D1898" t="s">
        <v>53</v>
      </c>
      <c r="E1898" t="s">
        <v>26</v>
      </c>
      <c r="F1898" t="s">
        <v>17</v>
      </c>
      <c r="G1898" t="str">
        <f>"03"</f>
        <v>03</v>
      </c>
      <c r="H1898" t="str">
        <f>"3  "</f>
        <v xml:space="preserve">3  </v>
      </c>
      <c r="I1898" t="str">
        <f>"2018/03/02"</f>
        <v>2018/03/02</v>
      </c>
      <c r="J1898" t="str">
        <f>"502"</f>
        <v>502</v>
      </c>
      <c r="K1898" t="str">
        <f>"20440617"</f>
        <v>20440617</v>
      </c>
      <c r="L1898" t="s">
        <v>18</v>
      </c>
      <c r="M1898" t="str">
        <f>"20151020"</f>
        <v>20151020</v>
      </c>
    </row>
    <row r="1899" spans="1:13" x14ac:dyDescent="0.25">
      <c r="A1899" t="str">
        <f>"00472817"</f>
        <v>00472817</v>
      </c>
      <c r="B1899" t="s">
        <v>242</v>
      </c>
      <c r="C1899" t="s">
        <v>169</v>
      </c>
      <c r="D1899" t="s">
        <v>61</v>
      </c>
      <c r="E1899" t="s">
        <v>16</v>
      </c>
      <c r="F1899" t="s">
        <v>17</v>
      </c>
      <c r="G1899" t="str">
        <f>"03"</f>
        <v>03</v>
      </c>
      <c r="H1899" t="str">
        <f>"3  "</f>
        <v xml:space="preserve">3  </v>
      </c>
      <c r="I1899" t="str">
        <f>"2019/07/16"</f>
        <v>2019/07/16</v>
      </c>
      <c r="J1899" t="str">
        <f>"512"</f>
        <v>512</v>
      </c>
      <c r="K1899" t="str">
        <f>"20210223"</f>
        <v>20210223</v>
      </c>
      <c r="L1899" t="s">
        <v>18</v>
      </c>
      <c r="M1899" t="str">
        <f>"20190712"</f>
        <v>20190712</v>
      </c>
    </row>
    <row r="1900" spans="1:13" x14ac:dyDescent="0.25">
      <c r="A1900" t="str">
        <f>"00389056"</f>
        <v>00389056</v>
      </c>
      <c r="B1900" t="s">
        <v>242</v>
      </c>
      <c r="C1900" t="s">
        <v>169</v>
      </c>
      <c r="D1900" t="s">
        <v>80</v>
      </c>
      <c r="E1900" t="s">
        <v>16</v>
      </c>
      <c r="F1900" t="s">
        <v>17</v>
      </c>
      <c r="G1900" t="str">
        <f>"03"</f>
        <v>03</v>
      </c>
      <c r="H1900" t="str">
        <f>"3  "</f>
        <v xml:space="preserve">3  </v>
      </c>
      <c r="I1900" t="str">
        <f>"2010/01/30"</f>
        <v>2010/01/30</v>
      </c>
      <c r="J1900" t="str">
        <f>"110"</f>
        <v>110</v>
      </c>
      <c r="K1900" t="str">
        <f>"20260509"</f>
        <v>20260509</v>
      </c>
      <c r="L1900" t="s">
        <v>18</v>
      </c>
      <c r="M1900" t="str">
        <f>"20090726"</f>
        <v>20090726</v>
      </c>
    </row>
    <row r="1901" spans="1:13" x14ac:dyDescent="0.25">
      <c r="A1901" t="str">
        <f>"00882983"</f>
        <v>00882983</v>
      </c>
      <c r="B1901" t="s">
        <v>262</v>
      </c>
      <c r="C1901" t="s">
        <v>44</v>
      </c>
      <c r="D1901" t="s">
        <v>61</v>
      </c>
      <c r="E1901" t="s">
        <v>16</v>
      </c>
      <c r="F1901" t="s">
        <v>17</v>
      </c>
      <c r="G1901" t="str">
        <f>"03"</f>
        <v>03</v>
      </c>
      <c r="H1901" t="str">
        <f>"3  "</f>
        <v xml:space="preserve">3  </v>
      </c>
      <c r="I1901" t="str">
        <f>"2020/01/24"</f>
        <v>2020/01/24</v>
      </c>
      <c r="J1901" t="str">
        <f>"110"</f>
        <v>110</v>
      </c>
      <c r="K1901" t="str">
        <f>"20270308"</f>
        <v>20270308</v>
      </c>
      <c r="L1901" t="s">
        <v>18</v>
      </c>
      <c r="M1901" t="str">
        <f>"20191210"</f>
        <v>20191210</v>
      </c>
    </row>
    <row r="1902" spans="1:13" x14ac:dyDescent="0.25">
      <c r="A1902" t="str">
        <f>"00652881"</f>
        <v>00652881</v>
      </c>
      <c r="B1902" t="s">
        <v>262</v>
      </c>
      <c r="C1902" t="s">
        <v>266</v>
      </c>
      <c r="D1902" t="s">
        <v>40</v>
      </c>
      <c r="E1902" t="s">
        <v>26</v>
      </c>
      <c r="F1902" t="s">
        <v>17</v>
      </c>
      <c r="G1902" t="str">
        <f>"03"</f>
        <v>03</v>
      </c>
      <c r="H1902" t="str">
        <f>"3  "</f>
        <v xml:space="preserve">3  </v>
      </c>
      <c r="I1902" t="str">
        <f>"2020/09/09"</f>
        <v>2020/09/09</v>
      </c>
      <c r="J1902" t="str">
        <f>"512"</f>
        <v>512</v>
      </c>
      <c r="K1902" t="str">
        <f>"20220628"</f>
        <v>20220628</v>
      </c>
      <c r="L1902" t="s">
        <v>18</v>
      </c>
      <c r="M1902" t="str">
        <f>"20200828"</f>
        <v>20200828</v>
      </c>
    </row>
    <row r="1903" spans="1:13" x14ac:dyDescent="0.25">
      <c r="A1903" t="str">
        <f>"00893692"</f>
        <v>00893692</v>
      </c>
      <c r="B1903" t="s">
        <v>268</v>
      </c>
      <c r="C1903" t="s">
        <v>269</v>
      </c>
      <c r="D1903" t="s">
        <v>40</v>
      </c>
      <c r="E1903" t="s">
        <v>16</v>
      </c>
      <c r="F1903" t="s">
        <v>17</v>
      </c>
      <c r="G1903" t="str">
        <f>"03"</f>
        <v>03</v>
      </c>
      <c r="H1903" t="str">
        <f>"3  "</f>
        <v xml:space="preserve">3  </v>
      </c>
      <c r="I1903" t="str">
        <f>"2019/08/13"</f>
        <v>2019/08/13</v>
      </c>
      <c r="J1903" t="str">
        <f>"110"</f>
        <v>110</v>
      </c>
      <c r="K1903" t="str">
        <f>"20220619"</f>
        <v>20220619</v>
      </c>
      <c r="L1903" t="s">
        <v>18</v>
      </c>
      <c r="M1903" t="str">
        <f>"20181103"</f>
        <v>20181103</v>
      </c>
    </row>
    <row r="1904" spans="1:13" x14ac:dyDescent="0.25">
      <c r="A1904" t="str">
        <f>"00568856"</f>
        <v>00568856</v>
      </c>
      <c r="B1904" t="s">
        <v>268</v>
      </c>
      <c r="C1904" t="s">
        <v>270</v>
      </c>
      <c r="D1904" t="s">
        <v>61</v>
      </c>
      <c r="E1904" t="s">
        <v>26</v>
      </c>
      <c r="F1904" t="s">
        <v>17</v>
      </c>
      <c r="G1904" t="str">
        <f>"03"</f>
        <v>03</v>
      </c>
      <c r="H1904" t="str">
        <f>"0  "</f>
        <v xml:space="preserve">0  </v>
      </c>
      <c r="I1904" t="str">
        <f>"2020/06/13"</f>
        <v>2020/06/13</v>
      </c>
      <c r="J1904" t="str">
        <f>"420"</f>
        <v>420</v>
      </c>
      <c r="K1904" t="s">
        <v>18</v>
      </c>
      <c r="L1904" t="s">
        <v>18</v>
      </c>
      <c r="M1904" t="s">
        <v>18</v>
      </c>
    </row>
    <row r="1905" spans="1:13" x14ac:dyDescent="0.25">
      <c r="A1905" t="str">
        <f>"00217549"</f>
        <v>00217549</v>
      </c>
      <c r="B1905" t="s">
        <v>276</v>
      </c>
      <c r="C1905" t="s">
        <v>283</v>
      </c>
      <c r="D1905" t="s">
        <v>40</v>
      </c>
      <c r="E1905" t="s">
        <v>26</v>
      </c>
      <c r="F1905" t="s">
        <v>17</v>
      </c>
      <c r="G1905" t="str">
        <f>"03"</f>
        <v>03</v>
      </c>
      <c r="H1905" t="str">
        <f>"3  "</f>
        <v xml:space="preserve">3  </v>
      </c>
      <c r="I1905" t="str">
        <f>"2020/09/10"</f>
        <v>2020/09/10</v>
      </c>
      <c r="J1905" t="str">
        <f>"533"</f>
        <v>533</v>
      </c>
      <c r="K1905" t="str">
        <f>"20421107"</f>
        <v>20421107</v>
      </c>
      <c r="L1905" t="s">
        <v>18</v>
      </c>
      <c r="M1905" t="str">
        <f>"20200417"</f>
        <v>20200417</v>
      </c>
    </row>
    <row r="1906" spans="1:13" x14ac:dyDescent="0.25">
      <c r="A1906" t="str">
        <f>"00627733"</f>
        <v>00627733</v>
      </c>
      <c r="B1906" t="s">
        <v>289</v>
      </c>
      <c r="C1906" t="s">
        <v>290</v>
      </c>
      <c r="D1906" t="s">
        <v>61</v>
      </c>
      <c r="E1906" t="s">
        <v>26</v>
      </c>
      <c r="F1906" t="s">
        <v>17</v>
      </c>
      <c r="G1906" t="str">
        <f>"03"</f>
        <v>03</v>
      </c>
      <c r="H1906" t="str">
        <f>"0  "</f>
        <v xml:space="preserve">0  </v>
      </c>
      <c r="I1906" t="str">
        <f>"2020/02/12"</f>
        <v>2020/02/12</v>
      </c>
      <c r="J1906" t="str">
        <f>"410"</f>
        <v>410</v>
      </c>
      <c r="K1906" t="s">
        <v>18</v>
      </c>
      <c r="L1906" t="s">
        <v>18</v>
      </c>
      <c r="M1906" t="s">
        <v>18</v>
      </c>
    </row>
    <row r="1907" spans="1:13" x14ac:dyDescent="0.25">
      <c r="A1907" t="str">
        <f>"00389830"</f>
        <v>00389830</v>
      </c>
      <c r="B1907" t="s">
        <v>303</v>
      </c>
      <c r="C1907" t="s">
        <v>304</v>
      </c>
      <c r="D1907" t="s">
        <v>15</v>
      </c>
      <c r="E1907" t="s">
        <v>26</v>
      </c>
      <c r="F1907" t="s">
        <v>17</v>
      </c>
      <c r="G1907" t="str">
        <f>"03"</f>
        <v>03</v>
      </c>
      <c r="H1907" t="str">
        <f>"3  "</f>
        <v xml:space="preserve">3  </v>
      </c>
      <c r="I1907" t="str">
        <f>"2018/08/28"</f>
        <v>2018/08/28</v>
      </c>
      <c r="J1907" t="str">
        <f>"502"</f>
        <v>502</v>
      </c>
      <c r="K1907" t="str">
        <f>"20331116"</f>
        <v>20331116</v>
      </c>
      <c r="L1907" t="s">
        <v>18</v>
      </c>
      <c r="M1907" t="str">
        <f>"20180301"</f>
        <v>20180301</v>
      </c>
    </row>
    <row r="1908" spans="1:13" x14ac:dyDescent="0.25">
      <c r="A1908" t="str">
        <f>"00394068"</f>
        <v>00394068</v>
      </c>
      <c r="B1908" t="s">
        <v>307</v>
      </c>
      <c r="C1908" t="s">
        <v>308</v>
      </c>
      <c r="D1908" t="s">
        <v>16</v>
      </c>
      <c r="E1908" t="s">
        <v>16</v>
      </c>
      <c r="F1908" t="s">
        <v>17</v>
      </c>
      <c r="G1908" t="str">
        <f>"03"</f>
        <v>03</v>
      </c>
      <c r="H1908" t="str">
        <f>"0  "</f>
        <v xml:space="preserve">0  </v>
      </c>
      <c r="I1908" t="str">
        <f>"2019/03/28"</f>
        <v>2019/03/28</v>
      </c>
      <c r="J1908" t="str">
        <f>"410"</f>
        <v>410</v>
      </c>
      <c r="K1908" t="s">
        <v>18</v>
      </c>
      <c r="L1908" t="s">
        <v>18</v>
      </c>
      <c r="M1908" t="s">
        <v>18</v>
      </c>
    </row>
    <row r="1909" spans="1:13" x14ac:dyDescent="0.25">
      <c r="A1909" t="str">
        <f>"00708491"</f>
        <v>00708491</v>
      </c>
      <c r="B1909" t="s">
        <v>311</v>
      </c>
      <c r="C1909" t="s">
        <v>169</v>
      </c>
      <c r="D1909" t="s">
        <v>16</v>
      </c>
      <c r="E1909" t="s">
        <v>16</v>
      </c>
      <c r="F1909" t="s">
        <v>17</v>
      </c>
      <c r="G1909" t="str">
        <f>"03"</f>
        <v>03</v>
      </c>
      <c r="H1909" t="str">
        <f>"3  "</f>
        <v xml:space="preserve">3  </v>
      </c>
      <c r="I1909" t="str">
        <f>"2012/04/30"</f>
        <v>2012/04/30</v>
      </c>
      <c r="J1909" t="str">
        <f>"110"</f>
        <v>110</v>
      </c>
      <c r="K1909" t="str">
        <f>"20220124"</f>
        <v>20220124</v>
      </c>
      <c r="L1909" t="s">
        <v>18</v>
      </c>
      <c r="M1909" t="str">
        <f>"20120423"</f>
        <v>20120423</v>
      </c>
    </row>
    <row r="1910" spans="1:13" x14ac:dyDescent="0.25">
      <c r="A1910" t="str">
        <f>"00766132"</f>
        <v>00766132</v>
      </c>
      <c r="B1910" t="s">
        <v>314</v>
      </c>
      <c r="C1910" t="s">
        <v>55</v>
      </c>
      <c r="D1910" t="s">
        <v>21</v>
      </c>
      <c r="E1910" t="s">
        <v>16</v>
      </c>
      <c r="F1910" t="s">
        <v>17</v>
      </c>
      <c r="G1910" t="str">
        <f>"03"</f>
        <v>03</v>
      </c>
      <c r="H1910" t="str">
        <f>"1  "</f>
        <v xml:space="preserve">1  </v>
      </c>
      <c r="I1910" t="str">
        <f>"2020/08/20"</f>
        <v>2020/08/20</v>
      </c>
      <c r="J1910" t="str">
        <f>"120"</f>
        <v>120</v>
      </c>
      <c r="K1910" t="str">
        <f>"20210208"</f>
        <v>20210208</v>
      </c>
      <c r="L1910" t="s">
        <v>18</v>
      </c>
      <c r="M1910" t="str">
        <f>"20200809"</f>
        <v>20200809</v>
      </c>
    </row>
    <row r="1911" spans="1:13" x14ac:dyDescent="0.25">
      <c r="A1911" t="str">
        <f>"00636063"</f>
        <v>00636063</v>
      </c>
      <c r="B1911" t="s">
        <v>338</v>
      </c>
      <c r="C1911" t="s">
        <v>339</v>
      </c>
      <c r="D1911" t="s">
        <v>21</v>
      </c>
      <c r="E1911" t="s">
        <v>26</v>
      </c>
      <c r="F1911" t="s">
        <v>17</v>
      </c>
      <c r="G1911" t="str">
        <f>"03"</f>
        <v>03</v>
      </c>
      <c r="H1911" t="str">
        <f>"3  "</f>
        <v xml:space="preserve">3  </v>
      </c>
      <c r="I1911" t="str">
        <f>"2019/08/13"</f>
        <v>2019/08/13</v>
      </c>
      <c r="J1911" t="str">
        <f>"110"</f>
        <v>110</v>
      </c>
      <c r="K1911" t="str">
        <f>"20201221"</f>
        <v>20201221</v>
      </c>
      <c r="L1911" t="s">
        <v>18</v>
      </c>
      <c r="M1911" t="str">
        <f>"20190806"</f>
        <v>20190806</v>
      </c>
    </row>
    <row r="1912" spans="1:13" x14ac:dyDescent="0.25">
      <c r="A1912" t="str">
        <f>"00656519"</f>
        <v>00656519</v>
      </c>
      <c r="B1912" t="s">
        <v>338</v>
      </c>
      <c r="C1912" t="s">
        <v>322</v>
      </c>
      <c r="D1912" t="s">
        <v>40</v>
      </c>
      <c r="E1912" t="s">
        <v>26</v>
      </c>
      <c r="F1912" t="s">
        <v>17</v>
      </c>
      <c r="G1912" t="str">
        <f>"03"</f>
        <v>03</v>
      </c>
      <c r="H1912" t="str">
        <f>"0  "</f>
        <v xml:space="preserve">0  </v>
      </c>
      <c r="I1912" t="str">
        <f>"2020/09/18"</f>
        <v>2020/09/18</v>
      </c>
      <c r="J1912" t="str">
        <f>"410"</f>
        <v>410</v>
      </c>
      <c r="K1912" t="s">
        <v>18</v>
      </c>
      <c r="L1912" t="s">
        <v>18</v>
      </c>
      <c r="M1912" t="s">
        <v>18</v>
      </c>
    </row>
    <row r="1913" spans="1:13" x14ac:dyDescent="0.25">
      <c r="A1913" t="str">
        <f>"00813231"</f>
        <v>00813231</v>
      </c>
      <c r="B1913" t="s">
        <v>345</v>
      </c>
      <c r="C1913" t="s">
        <v>346</v>
      </c>
      <c r="D1913" t="s">
        <v>15</v>
      </c>
      <c r="E1913" t="s">
        <v>16</v>
      </c>
      <c r="F1913" t="s">
        <v>17</v>
      </c>
      <c r="G1913" t="str">
        <f>"03"</f>
        <v>03</v>
      </c>
      <c r="H1913" t="str">
        <f>"1  "</f>
        <v xml:space="preserve">1  </v>
      </c>
      <c r="I1913" t="str">
        <f>"2020/07/02"</f>
        <v>2020/07/02</v>
      </c>
      <c r="J1913" t="str">
        <f>"120"</f>
        <v>120</v>
      </c>
      <c r="K1913" t="str">
        <f>"20210104"</f>
        <v>20210104</v>
      </c>
      <c r="L1913" t="s">
        <v>18</v>
      </c>
      <c r="M1913" t="str">
        <f>"20200626"</f>
        <v>20200626</v>
      </c>
    </row>
    <row r="1914" spans="1:13" x14ac:dyDescent="0.25">
      <c r="A1914" t="str">
        <f>"00183724"</f>
        <v>00183724</v>
      </c>
      <c r="B1914" t="s">
        <v>347</v>
      </c>
      <c r="C1914" t="s">
        <v>62</v>
      </c>
      <c r="D1914" t="s">
        <v>80</v>
      </c>
      <c r="E1914" t="s">
        <v>26</v>
      </c>
      <c r="F1914" t="s">
        <v>17</v>
      </c>
      <c r="G1914" t="str">
        <f>"03"</f>
        <v>03</v>
      </c>
      <c r="H1914" t="str">
        <f>"7  "</f>
        <v xml:space="preserve">7  </v>
      </c>
      <c r="I1914" t="str">
        <f>"2020/08/31"</f>
        <v>2020/08/31</v>
      </c>
      <c r="J1914" t="str">
        <f>"502"</f>
        <v>502</v>
      </c>
      <c r="K1914" t="s">
        <v>18</v>
      </c>
      <c r="L1914" t="s">
        <v>18</v>
      </c>
      <c r="M1914" t="str">
        <f>"19820505"</f>
        <v>19820505</v>
      </c>
    </row>
    <row r="1915" spans="1:13" x14ac:dyDescent="0.25">
      <c r="A1915" t="str">
        <f>"00538314"</f>
        <v>00538314</v>
      </c>
      <c r="B1915" t="s">
        <v>350</v>
      </c>
      <c r="C1915" t="s">
        <v>353</v>
      </c>
      <c r="D1915" t="s">
        <v>40</v>
      </c>
      <c r="E1915" t="s">
        <v>26</v>
      </c>
      <c r="F1915" t="s">
        <v>17</v>
      </c>
      <c r="G1915" t="str">
        <f>"03"</f>
        <v>03</v>
      </c>
      <c r="H1915" t="str">
        <f>"0  "</f>
        <v xml:space="preserve">0  </v>
      </c>
      <c r="I1915" t="str">
        <f>"2020/08/15"</f>
        <v>2020/08/15</v>
      </c>
      <c r="J1915" t="str">
        <f>"410"</f>
        <v>410</v>
      </c>
      <c r="K1915" t="s">
        <v>18</v>
      </c>
      <c r="L1915" t="s">
        <v>18</v>
      </c>
      <c r="M1915" t="s">
        <v>18</v>
      </c>
    </row>
    <row r="1916" spans="1:13" x14ac:dyDescent="0.25">
      <c r="A1916" t="str">
        <f>"00259156"</f>
        <v>00259156</v>
      </c>
      <c r="B1916" t="s">
        <v>379</v>
      </c>
      <c r="C1916" t="s">
        <v>135</v>
      </c>
      <c r="D1916" t="s">
        <v>40</v>
      </c>
      <c r="E1916" t="s">
        <v>16</v>
      </c>
      <c r="F1916" t="s">
        <v>17</v>
      </c>
      <c r="G1916" t="str">
        <f>"03"</f>
        <v>03</v>
      </c>
      <c r="H1916" t="str">
        <f>"3  "</f>
        <v xml:space="preserve">3  </v>
      </c>
      <c r="I1916" t="str">
        <f>"2015/07/24"</f>
        <v>2015/07/24</v>
      </c>
      <c r="J1916" t="str">
        <f>"110"</f>
        <v>110</v>
      </c>
      <c r="K1916" t="str">
        <f>"20280202"</f>
        <v>20280202</v>
      </c>
      <c r="L1916" t="s">
        <v>18</v>
      </c>
      <c r="M1916" t="str">
        <f>"20150201"</f>
        <v>20150201</v>
      </c>
    </row>
    <row r="1917" spans="1:13" x14ac:dyDescent="0.25">
      <c r="A1917" t="str">
        <f>"00294822"</f>
        <v>00294822</v>
      </c>
      <c r="B1917" t="s">
        <v>381</v>
      </c>
      <c r="C1917" t="s">
        <v>382</v>
      </c>
      <c r="D1917" t="s">
        <v>215</v>
      </c>
      <c r="E1917" t="s">
        <v>26</v>
      </c>
      <c r="F1917" t="s">
        <v>17</v>
      </c>
      <c r="G1917" t="str">
        <f>"03"</f>
        <v>03</v>
      </c>
      <c r="H1917" t="str">
        <f>"3  "</f>
        <v xml:space="preserve">3  </v>
      </c>
      <c r="I1917" t="str">
        <f>"2020/02/06"</f>
        <v>2020/02/06</v>
      </c>
      <c r="J1917" t="str">
        <f>"110"</f>
        <v>110</v>
      </c>
      <c r="K1917" t="str">
        <f>"20240803"</f>
        <v>20240803</v>
      </c>
      <c r="L1917" t="s">
        <v>18</v>
      </c>
      <c r="M1917" t="str">
        <f>"20200126"</f>
        <v>20200126</v>
      </c>
    </row>
    <row r="1918" spans="1:13" x14ac:dyDescent="0.25">
      <c r="A1918" t="str">
        <f>"00897873"</f>
        <v>00897873</v>
      </c>
      <c r="B1918" t="s">
        <v>383</v>
      </c>
      <c r="C1918" t="s">
        <v>384</v>
      </c>
      <c r="D1918" t="s">
        <v>16</v>
      </c>
      <c r="E1918" t="s">
        <v>16</v>
      </c>
      <c r="F1918" t="s">
        <v>17</v>
      </c>
      <c r="G1918" t="str">
        <f>"03"</f>
        <v>03</v>
      </c>
      <c r="H1918" t="str">
        <f>"3  "</f>
        <v xml:space="preserve">3  </v>
      </c>
      <c r="I1918" t="str">
        <f>"2019/11/18"</f>
        <v>2019/11/18</v>
      </c>
      <c r="J1918" t="str">
        <f>"110"</f>
        <v>110</v>
      </c>
      <c r="K1918" t="str">
        <f>"20250413"</f>
        <v>20250413</v>
      </c>
      <c r="L1918" t="s">
        <v>18</v>
      </c>
      <c r="M1918" t="str">
        <f>"20190110"</f>
        <v>20190110</v>
      </c>
    </row>
    <row r="1919" spans="1:13" x14ac:dyDescent="0.25">
      <c r="A1919" t="str">
        <f>"00268270"</f>
        <v>00268270</v>
      </c>
      <c r="B1919" t="s">
        <v>383</v>
      </c>
      <c r="C1919" t="s">
        <v>169</v>
      </c>
      <c r="D1919" t="s">
        <v>15</v>
      </c>
      <c r="E1919" t="s">
        <v>16</v>
      </c>
      <c r="F1919" t="s">
        <v>17</v>
      </c>
      <c r="G1919" t="str">
        <f>"03"</f>
        <v>03</v>
      </c>
      <c r="H1919" t="str">
        <f>"3  "</f>
        <v xml:space="preserve">3  </v>
      </c>
      <c r="I1919" t="str">
        <f>"2018/07/03"</f>
        <v>2018/07/03</v>
      </c>
      <c r="J1919" t="str">
        <f>"110"</f>
        <v>110</v>
      </c>
      <c r="K1919" t="str">
        <f>"20210210"</f>
        <v>20210210</v>
      </c>
      <c r="L1919" t="s">
        <v>18</v>
      </c>
      <c r="M1919" t="str">
        <f>"20180329"</f>
        <v>20180329</v>
      </c>
    </row>
    <row r="1920" spans="1:13" x14ac:dyDescent="0.25">
      <c r="A1920" t="str">
        <f>"00213411"</f>
        <v>00213411</v>
      </c>
      <c r="B1920" t="s">
        <v>389</v>
      </c>
      <c r="C1920" t="s">
        <v>176</v>
      </c>
      <c r="D1920" t="s">
        <v>80</v>
      </c>
      <c r="E1920" t="s">
        <v>16</v>
      </c>
      <c r="F1920" t="s">
        <v>17</v>
      </c>
      <c r="G1920" t="str">
        <f>"03"</f>
        <v>03</v>
      </c>
      <c r="H1920" t="str">
        <f>"0  "</f>
        <v xml:space="preserve">0  </v>
      </c>
      <c r="I1920" t="str">
        <f>"2020/09/21"</f>
        <v>2020/09/21</v>
      </c>
      <c r="J1920" t="str">
        <f>"410"</f>
        <v>410</v>
      </c>
      <c r="K1920" t="s">
        <v>18</v>
      </c>
      <c r="L1920" t="s">
        <v>18</v>
      </c>
      <c r="M1920" t="s">
        <v>18</v>
      </c>
    </row>
    <row r="1921" spans="1:13" x14ac:dyDescent="0.25">
      <c r="A1921" t="str">
        <f>"00643841"</f>
        <v>00643841</v>
      </c>
      <c r="B1921" t="s">
        <v>393</v>
      </c>
      <c r="C1921" t="s">
        <v>394</v>
      </c>
      <c r="D1921" t="s">
        <v>53</v>
      </c>
      <c r="E1921" t="s">
        <v>26</v>
      </c>
      <c r="F1921" t="s">
        <v>17</v>
      </c>
      <c r="G1921" t="str">
        <f>"03"</f>
        <v>03</v>
      </c>
      <c r="H1921" t="str">
        <f>"0  "</f>
        <v xml:space="preserve">0  </v>
      </c>
      <c r="I1921" t="str">
        <f>"2019/07/17"</f>
        <v>2019/07/17</v>
      </c>
      <c r="J1921" t="str">
        <f>"410"</f>
        <v>410</v>
      </c>
      <c r="K1921" t="s">
        <v>18</v>
      </c>
      <c r="L1921" t="s">
        <v>18</v>
      </c>
      <c r="M1921" t="s">
        <v>18</v>
      </c>
    </row>
    <row r="1922" spans="1:13" x14ac:dyDescent="0.25">
      <c r="A1922" t="str">
        <f>"00486855"</f>
        <v>00486855</v>
      </c>
      <c r="B1922" t="s">
        <v>393</v>
      </c>
      <c r="C1922" t="s">
        <v>395</v>
      </c>
      <c r="D1922" t="s">
        <v>61</v>
      </c>
      <c r="E1922" t="s">
        <v>16</v>
      </c>
      <c r="F1922" t="s">
        <v>17</v>
      </c>
      <c r="G1922" t="str">
        <f>"03"</f>
        <v>03</v>
      </c>
      <c r="H1922" t="str">
        <f>"3  "</f>
        <v xml:space="preserve">3  </v>
      </c>
      <c r="I1922" t="str">
        <f>"2020/03/09"</f>
        <v>2020/03/09</v>
      </c>
      <c r="J1922" t="str">
        <f>"110"</f>
        <v>110</v>
      </c>
      <c r="K1922" t="str">
        <f>"20220222"</f>
        <v>20220222</v>
      </c>
      <c r="L1922" t="s">
        <v>18</v>
      </c>
      <c r="M1922" t="str">
        <f>"20190619"</f>
        <v>20190619</v>
      </c>
    </row>
    <row r="1923" spans="1:13" x14ac:dyDescent="0.25">
      <c r="A1923" t="str">
        <f>"00233130"</f>
        <v>00233130</v>
      </c>
      <c r="B1923" t="s">
        <v>396</v>
      </c>
      <c r="C1923" t="s">
        <v>74</v>
      </c>
      <c r="D1923" t="s">
        <v>15</v>
      </c>
      <c r="E1923" t="s">
        <v>26</v>
      </c>
      <c r="F1923" t="s">
        <v>17</v>
      </c>
      <c r="G1923" t="str">
        <f>"03"</f>
        <v>03</v>
      </c>
      <c r="H1923" t="str">
        <f>"3  "</f>
        <v xml:space="preserve">3  </v>
      </c>
      <c r="I1923" t="str">
        <f>"2020/09/10"</f>
        <v>2020/09/10</v>
      </c>
      <c r="J1923" t="str">
        <f>"110"</f>
        <v>110</v>
      </c>
      <c r="K1923" t="str">
        <f>"20420920"</f>
        <v>20420920</v>
      </c>
      <c r="L1923" t="s">
        <v>18</v>
      </c>
      <c r="M1923" t="str">
        <f>"20200225"</f>
        <v>20200225</v>
      </c>
    </row>
    <row r="1924" spans="1:13" x14ac:dyDescent="0.25">
      <c r="A1924" t="str">
        <f>"00805063"</f>
        <v>00805063</v>
      </c>
      <c r="B1924" t="s">
        <v>396</v>
      </c>
      <c r="C1924" t="s">
        <v>402</v>
      </c>
      <c r="D1924" t="s">
        <v>25</v>
      </c>
      <c r="E1924" t="s">
        <v>26</v>
      </c>
      <c r="F1924" t="s">
        <v>17</v>
      </c>
      <c r="G1924" t="str">
        <f>"03"</f>
        <v>03</v>
      </c>
      <c r="H1924" t="str">
        <f>"3  "</f>
        <v xml:space="preserve">3  </v>
      </c>
      <c r="I1924" t="str">
        <f>"2020/09/16"</f>
        <v>2020/09/16</v>
      </c>
      <c r="J1924" t="str">
        <f>"502"</f>
        <v>502</v>
      </c>
      <c r="K1924" t="str">
        <f>"20210903"</f>
        <v>20210903</v>
      </c>
      <c r="L1924" t="s">
        <v>18</v>
      </c>
      <c r="M1924" t="str">
        <f>"20200421"</f>
        <v>20200421</v>
      </c>
    </row>
    <row r="1925" spans="1:13" x14ac:dyDescent="0.25">
      <c r="A1925" t="str">
        <f>"00806916"</f>
        <v>00806916</v>
      </c>
      <c r="B1925" t="s">
        <v>405</v>
      </c>
      <c r="C1925" t="s">
        <v>358</v>
      </c>
      <c r="D1925" t="s">
        <v>25</v>
      </c>
      <c r="E1925" t="s">
        <v>16</v>
      </c>
      <c r="F1925" t="s">
        <v>17</v>
      </c>
      <c r="G1925" t="str">
        <f>"03"</f>
        <v>03</v>
      </c>
      <c r="H1925" t="str">
        <f>"3  "</f>
        <v xml:space="preserve">3  </v>
      </c>
      <c r="I1925" t="str">
        <f>"2020/03/19"</f>
        <v>2020/03/19</v>
      </c>
      <c r="J1925" t="str">
        <f>"110"</f>
        <v>110</v>
      </c>
      <c r="K1925" t="str">
        <f>"20330313"</f>
        <v>20330313</v>
      </c>
      <c r="L1925" t="s">
        <v>18</v>
      </c>
      <c r="M1925" t="str">
        <f>"20190824"</f>
        <v>20190824</v>
      </c>
    </row>
    <row r="1926" spans="1:13" x14ac:dyDescent="0.25">
      <c r="A1926" t="str">
        <f>"00283955"</f>
        <v>00283955</v>
      </c>
      <c r="B1926" t="s">
        <v>406</v>
      </c>
      <c r="C1926" t="s">
        <v>55</v>
      </c>
      <c r="D1926" t="s">
        <v>51</v>
      </c>
      <c r="E1926" t="s">
        <v>16</v>
      </c>
      <c r="F1926" t="s">
        <v>17</v>
      </c>
      <c r="G1926" t="str">
        <f>"03"</f>
        <v>03</v>
      </c>
      <c r="H1926" t="str">
        <f>"0  "</f>
        <v xml:space="preserve">0  </v>
      </c>
      <c r="I1926" t="str">
        <f>"2020/02/26"</f>
        <v>2020/02/26</v>
      </c>
      <c r="J1926" t="str">
        <f>"410"</f>
        <v>410</v>
      </c>
      <c r="K1926" t="s">
        <v>18</v>
      </c>
      <c r="L1926" t="s">
        <v>18</v>
      </c>
      <c r="M1926" t="s">
        <v>18</v>
      </c>
    </row>
    <row r="1927" spans="1:13" x14ac:dyDescent="0.25">
      <c r="A1927" t="str">
        <f>"00421489"</f>
        <v>00421489</v>
      </c>
      <c r="B1927" t="s">
        <v>406</v>
      </c>
      <c r="C1927" t="s">
        <v>410</v>
      </c>
      <c r="D1927" t="s">
        <v>61</v>
      </c>
      <c r="E1927" t="s">
        <v>26</v>
      </c>
      <c r="F1927" t="s">
        <v>17</v>
      </c>
      <c r="G1927" t="str">
        <f>"03"</f>
        <v>03</v>
      </c>
      <c r="H1927" t="str">
        <f>"1  "</f>
        <v xml:space="preserve">1  </v>
      </c>
      <c r="I1927" t="str">
        <f>"2020/07/24"</f>
        <v>2020/07/24</v>
      </c>
      <c r="J1927" t="str">
        <f>"502"</f>
        <v>502</v>
      </c>
      <c r="K1927" t="str">
        <f>"20200926"</f>
        <v>20200926</v>
      </c>
      <c r="L1927" t="s">
        <v>18</v>
      </c>
      <c r="M1927" t="str">
        <f>"20191118"</f>
        <v>20191118</v>
      </c>
    </row>
    <row r="1928" spans="1:13" x14ac:dyDescent="0.25">
      <c r="A1928" t="str">
        <f>"00869771"</f>
        <v>00869771</v>
      </c>
      <c r="B1928" t="s">
        <v>416</v>
      </c>
      <c r="C1928" t="s">
        <v>417</v>
      </c>
      <c r="D1928" t="s">
        <v>21</v>
      </c>
      <c r="E1928" t="s">
        <v>26</v>
      </c>
      <c r="F1928" t="s">
        <v>17</v>
      </c>
      <c r="G1928" t="str">
        <f>"03"</f>
        <v>03</v>
      </c>
      <c r="H1928" t="str">
        <f>"0  "</f>
        <v xml:space="preserve">0  </v>
      </c>
      <c r="I1928" t="str">
        <f>"2020/09/13"</f>
        <v>2020/09/13</v>
      </c>
      <c r="J1928" t="str">
        <f>"410"</f>
        <v>410</v>
      </c>
      <c r="K1928" t="s">
        <v>18</v>
      </c>
      <c r="L1928" t="s">
        <v>18</v>
      </c>
      <c r="M1928" t="s">
        <v>18</v>
      </c>
    </row>
    <row r="1929" spans="1:13" x14ac:dyDescent="0.25">
      <c r="A1929" t="s">
        <v>433</v>
      </c>
      <c r="B1929" t="s">
        <v>434</v>
      </c>
      <c r="C1929" t="s">
        <v>74</v>
      </c>
      <c r="D1929" t="s">
        <v>25</v>
      </c>
      <c r="E1929" t="s">
        <v>16</v>
      </c>
      <c r="F1929" t="s">
        <v>17</v>
      </c>
      <c r="G1929" t="str">
        <f>"03"</f>
        <v>03</v>
      </c>
      <c r="H1929" t="str">
        <f>"0  "</f>
        <v xml:space="preserve">0  </v>
      </c>
      <c r="I1929" t="str">
        <f>"2020/09/17"</f>
        <v>2020/09/17</v>
      </c>
      <c r="J1929" t="str">
        <f>"410"</f>
        <v>410</v>
      </c>
      <c r="K1929" t="s">
        <v>18</v>
      </c>
      <c r="L1929" t="s">
        <v>18</v>
      </c>
      <c r="M1929" t="s">
        <v>18</v>
      </c>
    </row>
    <row r="1930" spans="1:13" x14ac:dyDescent="0.25">
      <c r="A1930" t="str">
        <f>"00199818"</f>
        <v>00199818</v>
      </c>
      <c r="B1930" t="s">
        <v>445</v>
      </c>
      <c r="C1930" t="s">
        <v>446</v>
      </c>
      <c r="D1930" t="s">
        <v>15</v>
      </c>
      <c r="E1930" t="s">
        <v>26</v>
      </c>
      <c r="F1930" t="s">
        <v>17</v>
      </c>
      <c r="G1930" t="str">
        <f>"03"</f>
        <v>03</v>
      </c>
      <c r="H1930" t="str">
        <f>"3  "</f>
        <v xml:space="preserve">3  </v>
      </c>
      <c r="I1930" t="str">
        <f>"2017/04/19"</f>
        <v>2017/04/19</v>
      </c>
      <c r="J1930" t="str">
        <f>"110"</f>
        <v>110</v>
      </c>
      <c r="K1930" t="str">
        <f>"20250407"</f>
        <v>20250407</v>
      </c>
      <c r="L1930" t="s">
        <v>18</v>
      </c>
      <c r="M1930" t="str">
        <f>"20161016"</f>
        <v>20161016</v>
      </c>
    </row>
    <row r="1931" spans="1:13" x14ac:dyDescent="0.25">
      <c r="A1931" t="str">
        <f>"00215351"</f>
        <v>00215351</v>
      </c>
      <c r="B1931" t="s">
        <v>448</v>
      </c>
      <c r="C1931" t="s">
        <v>118</v>
      </c>
      <c r="D1931" t="s">
        <v>47</v>
      </c>
      <c r="E1931" t="s">
        <v>26</v>
      </c>
      <c r="F1931" t="s">
        <v>17</v>
      </c>
      <c r="G1931" t="str">
        <f>"03"</f>
        <v>03</v>
      </c>
      <c r="H1931" t="str">
        <f>"3  "</f>
        <v xml:space="preserve">3  </v>
      </c>
      <c r="I1931" t="str">
        <f>"2020/09/03"</f>
        <v>2020/09/03</v>
      </c>
      <c r="J1931" t="str">
        <f>"110"</f>
        <v>110</v>
      </c>
      <c r="K1931" t="str">
        <f>"20250103"</f>
        <v>20250103</v>
      </c>
      <c r="L1931" t="s">
        <v>18</v>
      </c>
      <c r="M1931" t="str">
        <f>"20200624"</f>
        <v>20200624</v>
      </c>
    </row>
    <row r="1932" spans="1:13" x14ac:dyDescent="0.25">
      <c r="A1932" t="str">
        <f>"00299562"</f>
        <v>00299562</v>
      </c>
      <c r="B1932" t="s">
        <v>453</v>
      </c>
      <c r="C1932" t="s">
        <v>308</v>
      </c>
      <c r="D1932" t="s">
        <v>80</v>
      </c>
      <c r="E1932" t="s">
        <v>16</v>
      </c>
      <c r="F1932" t="s">
        <v>17</v>
      </c>
      <c r="G1932" t="str">
        <f>"03"</f>
        <v>03</v>
      </c>
      <c r="H1932" t="str">
        <f>"3  "</f>
        <v xml:space="preserve">3  </v>
      </c>
      <c r="I1932" t="str">
        <f>"2018/02/23"</f>
        <v>2018/02/23</v>
      </c>
      <c r="J1932" t="str">
        <f>"110"</f>
        <v>110</v>
      </c>
      <c r="K1932" t="str">
        <f>"20210322"</f>
        <v>20210322</v>
      </c>
      <c r="L1932" t="s">
        <v>18</v>
      </c>
      <c r="M1932" t="str">
        <f>"20161104"</f>
        <v>20161104</v>
      </c>
    </row>
    <row r="1933" spans="1:13" x14ac:dyDescent="0.25">
      <c r="A1933" t="str">
        <f>"00622199"</f>
        <v>00622199</v>
      </c>
      <c r="B1933" t="s">
        <v>459</v>
      </c>
      <c r="C1933" t="s">
        <v>460</v>
      </c>
      <c r="D1933" t="s">
        <v>61</v>
      </c>
      <c r="E1933" t="s">
        <v>26</v>
      </c>
      <c r="F1933" t="s">
        <v>17</v>
      </c>
      <c r="G1933" t="str">
        <f>"03"</f>
        <v>03</v>
      </c>
      <c r="H1933" t="str">
        <f>"3  "</f>
        <v xml:space="preserve">3  </v>
      </c>
      <c r="I1933" t="str">
        <f>"2020/09/15"</f>
        <v>2020/09/15</v>
      </c>
      <c r="J1933" t="str">
        <f>"502"</f>
        <v>502</v>
      </c>
      <c r="K1933" t="str">
        <f>"20210612"</f>
        <v>20210612</v>
      </c>
      <c r="L1933" t="s">
        <v>18</v>
      </c>
      <c r="M1933" t="str">
        <f>"20191230"</f>
        <v>20191230</v>
      </c>
    </row>
    <row r="1934" spans="1:13" x14ac:dyDescent="0.25">
      <c r="A1934" t="str">
        <f>"00371970"</f>
        <v>00371970</v>
      </c>
      <c r="B1934" t="s">
        <v>463</v>
      </c>
      <c r="C1934" t="s">
        <v>249</v>
      </c>
      <c r="D1934" t="s">
        <v>16</v>
      </c>
      <c r="E1934" t="s">
        <v>16</v>
      </c>
      <c r="F1934" t="s">
        <v>17</v>
      </c>
      <c r="G1934" t="str">
        <f>"03"</f>
        <v>03</v>
      </c>
      <c r="H1934" t="str">
        <f>"3  "</f>
        <v xml:space="preserve">3  </v>
      </c>
      <c r="I1934" t="str">
        <f>"2016/08/22"</f>
        <v>2016/08/22</v>
      </c>
      <c r="J1934" t="str">
        <f>"110"</f>
        <v>110</v>
      </c>
      <c r="K1934" t="str">
        <f>"20210904"</f>
        <v>20210904</v>
      </c>
      <c r="L1934" t="s">
        <v>18</v>
      </c>
      <c r="M1934" t="str">
        <f>"20160405"</f>
        <v>20160405</v>
      </c>
    </row>
    <row r="1935" spans="1:13" x14ac:dyDescent="0.25">
      <c r="A1935" t="str">
        <f>"00712117"</f>
        <v>00712117</v>
      </c>
      <c r="B1935" t="s">
        <v>470</v>
      </c>
      <c r="C1935" t="s">
        <v>74</v>
      </c>
      <c r="D1935" t="s">
        <v>25</v>
      </c>
      <c r="E1935" t="s">
        <v>16</v>
      </c>
      <c r="F1935" t="s">
        <v>17</v>
      </c>
      <c r="G1935" t="str">
        <f>"03"</f>
        <v>03</v>
      </c>
      <c r="H1935" t="str">
        <f>"3  "</f>
        <v xml:space="preserve">3  </v>
      </c>
      <c r="I1935" t="str">
        <f>"2020/04/02"</f>
        <v>2020/04/02</v>
      </c>
      <c r="J1935" t="str">
        <f>"512"</f>
        <v>512</v>
      </c>
      <c r="K1935" t="str">
        <f>"20230513"</f>
        <v>20230513</v>
      </c>
      <c r="L1935" t="s">
        <v>18</v>
      </c>
      <c r="M1935" t="str">
        <f>"20200305"</f>
        <v>20200305</v>
      </c>
    </row>
    <row r="1936" spans="1:13" x14ac:dyDescent="0.25">
      <c r="A1936" t="str">
        <f>"00569027"</f>
        <v>00569027</v>
      </c>
      <c r="B1936" t="s">
        <v>483</v>
      </c>
      <c r="C1936" t="s">
        <v>484</v>
      </c>
      <c r="D1936" t="s">
        <v>51</v>
      </c>
      <c r="E1936" t="s">
        <v>16</v>
      </c>
      <c r="F1936" t="s">
        <v>17</v>
      </c>
      <c r="G1936" t="str">
        <f>"03"</f>
        <v>03</v>
      </c>
      <c r="H1936" t="str">
        <f>"1  "</f>
        <v xml:space="preserve">1  </v>
      </c>
      <c r="I1936" t="str">
        <f>"2020/04/29"</f>
        <v>2020/04/29</v>
      </c>
      <c r="J1936" t="str">
        <f>"120"</f>
        <v>120</v>
      </c>
      <c r="K1936" t="str">
        <f>"20201230"</f>
        <v>20201230</v>
      </c>
      <c r="L1936" t="s">
        <v>18</v>
      </c>
      <c r="M1936" t="str">
        <f>"20200420"</f>
        <v>20200420</v>
      </c>
    </row>
    <row r="1937" spans="1:13" x14ac:dyDescent="0.25">
      <c r="A1937" t="str">
        <f>"00653361"</f>
        <v>00653361</v>
      </c>
      <c r="B1937" t="s">
        <v>485</v>
      </c>
      <c r="C1937" t="s">
        <v>486</v>
      </c>
      <c r="D1937" t="s">
        <v>31</v>
      </c>
      <c r="E1937" t="s">
        <v>26</v>
      </c>
      <c r="F1937" t="s">
        <v>17</v>
      </c>
      <c r="G1937" t="str">
        <f>"03"</f>
        <v>03</v>
      </c>
      <c r="H1937" t="str">
        <f>"0  "</f>
        <v xml:space="preserve">0  </v>
      </c>
      <c r="I1937" t="str">
        <f>"2020/09/14"</f>
        <v>2020/09/14</v>
      </c>
      <c r="J1937" t="str">
        <f>"410"</f>
        <v>410</v>
      </c>
      <c r="K1937" t="s">
        <v>18</v>
      </c>
      <c r="L1937" t="s">
        <v>18</v>
      </c>
      <c r="M1937" t="s">
        <v>18</v>
      </c>
    </row>
    <row r="1938" spans="1:13" x14ac:dyDescent="0.25">
      <c r="A1938" t="str">
        <f>"00605367"</f>
        <v>00605367</v>
      </c>
      <c r="B1938" t="s">
        <v>498</v>
      </c>
      <c r="C1938" t="s">
        <v>499</v>
      </c>
      <c r="D1938" t="s">
        <v>45</v>
      </c>
      <c r="E1938" t="s">
        <v>26</v>
      </c>
      <c r="F1938" t="s">
        <v>17</v>
      </c>
      <c r="G1938" t="str">
        <f>"03"</f>
        <v>03</v>
      </c>
      <c r="H1938" t="str">
        <f>"3  "</f>
        <v xml:space="preserve">3  </v>
      </c>
      <c r="I1938" t="str">
        <f>"2019/01/08"</f>
        <v>2019/01/08</v>
      </c>
      <c r="J1938" t="str">
        <f>"110"</f>
        <v>110</v>
      </c>
      <c r="K1938" t="str">
        <f>"20210719"</f>
        <v>20210719</v>
      </c>
      <c r="L1938" t="s">
        <v>18</v>
      </c>
      <c r="M1938" t="str">
        <f>"20181119"</f>
        <v>20181119</v>
      </c>
    </row>
    <row r="1939" spans="1:13" x14ac:dyDescent="0.25">
      <c r="A1939" t="str">
        <f>"00185426"</f>
        <v>00185426</v>
      </c>
      <c r="B1939" t="s">
        <v>506</v>
      </c>
      <c r="C1939" t="s">
        <v>118</v>
      </c>
      <c r="D1939" t="s">
        <v>45</v>
      </c>
      <c r="E1939" t="s">
        <v>16</v>
      </c>
      <c r="F1939" t="s">
        <v>17</v>
      </c>
      <c r="G1939" t="str">
        <f>"03"</f>
        <v>03</v>
      </c>
      <c r="H1939" t="str">
        <f>"3  "</f>
        <v xml:space="preserve">3  </v>
      </c>
      <c r="I1939" t="str">
        <f>"2020/09/15"</f>
        <v>2020/09/15</v>
      </c>
      <c r="J1939" t="str">
        <f>"502"</f>
        <v>502</v>
      </c>
      <c r="K1939" t="str">
        <f>"20220610"</f>
        <v>20220610</v>
      </c>
      <c r="L1939" t="s">
        <v>18</v>
      </c>
      <c r="M1939" t="str">
        <f>"20110917"</f>
        <v>20110917</v>
      </c>
    </row>
    <row r="1940" spans="1:13" x14ac:dyDescent="0.25">
      <c r="A1940" t="str">
        <f>"00391412"</f>
        <v>00391412</v>
      </c>
      <c r="B1940" t="s">
        <v>508</v>
      </c>
      <c r="C1940" t="s">
        <v>510</v>
      </c>
      <c r="D1940" t="s">
        <v>61</v>
      </c>
      <c r="E1940" t="s">
        <v>26</v>
      </c>
      <c r="F1940" t="s">
        <v>17</v>
      </c>
      <c r="G1940" t="str">
        <f>"03"</f>
        <v>03</v>
      </c>
      <c r="H1940" t="str">
        <f>"3  "</f>
        <v xml:space="preserve">3  </v>
      </c>
      <c r="I1940" t="str">
        <f>"2020/07/24"</f>
        <v>2020/07/24</v>
      </c>
      <c r="J1940" t="str">
        <f>"502"</f>
        <v>502</v>
      </c>
      <c r="K1940" t="str">
        <f>"20251108"</f>
        <v>20251108</v>
      </c>
      <c r="L1940" t="s">
        <v>18</v>
      </c>
      <c r="M1940" t="str">
        <f>"20191220"</f>
        <v>20191220</v>
      </c>
    </row>
    <row r="1941" spans="1:13" x14ac:dyDescent="0.25">
      <c r="A1941" t="str">
        <f>"00264683"</f>
        <v>00264683</v>
      </c>
      <c r="B1941" t="s">
        <v>517</v>
      </c>
      <c r="C1941" t="s">
        <v>74</v>
      </c>
      <c r="D1941" t="s">
        <v>40</v>
      </c>
      <c r="E1941" t="s">
        <v>26</v>
      </c>
      <c r="F1941" t="s">
        <v>17</v>
      </c>
      <c r="G1941" t="str">
        <f>"03"</f>
        <v>03</v>
      </c>
      <c r="H1941" t="str">
        <f>"3  "</f>
        <v xml:space="preserve">3  </v>
      </c>
      <c r="I1941" t="str">
        <f>"2020/09/03"</f>
        <v>2020/09/03</v>
      </c>
      <c r="J1941" t="str">
        <f>"502"</f>
        <v>502</v>
      </c>
      <c r="K1941" t="str">
        <f>"20331201"</f>
        <v>20331201</v>
      </c>
      <c r="L1941" t="s">
        <v>18</v>
      </c>
      <c r="M1941" t="str">
        <f>"20080910"</f>
        <v>20080910</v>
      </c>
    </row>
    <row r="1942" spans="1:13" x14ac:dyDescent="0.25">
      <c r="A1942" t="str">
        <f>"00878136"</f>
        <v>00878136</v>
      </c>
      <c r="B1942" t="s">
        <v>523</v>
      </c>
      <c r="C1942" t="s">
        <v>527</v>
      </c>
      <c r="D1942" t="s">
        <v>40</v>
      </c>
      <c r="E1942" t="s">
        <v>16</v>
      </c>
      <c r="F1942" t="s">
        <v>17</v>
      </c>
      <c r="G1942" t="str">
        <f>"03"</f>
        <v>03</v>
      </c>
      <c r="H1942" t="str">
        <f>"0  "</f>
        <v xml:space="preserve">0  </v>
      </c>
      <c r="I1942" t="str">
        <f>"2020/04/18"</f>
        <v>2020/04/18</v>
      </c>
      <c r="J1942" t="str">
        <f>"410"</f>
        <v>410</v>
      </c>
      <c r="K1942" t="s">
        <v>18</v>
      </c>
      <c r="L1942" t="s">
        <v>18</v>
      </c>
      <c r="M1942" t="s">
        <v>18</v>
      </c>
    </row>
    <row r="1943" spans="1:13" x14ac:dyDescent="0.25">
      <c r="A1943" t="str">
        <f>"00840188"</f>
        <v>00840188</v>
      </c>
      <c r="B1943" t="s">
        <v>535</v>
      </c>
      <c r="C1943" t="s">
        <v>538</v>
      </c>
      <c r="D1943" t="s">
        <v>97</v>
      </c>
      <c r="E1943" t="s">
        <v>26</v>
      </c>
      <c r="F1943" t="s">
        <v>17</v>
      </c>
      <c r="G1943" t="str">
        <f>"03"</f>
        <v>03</v>
      </c>
      <c r="H1943" t="str">
        <f>"0  "</f>
        <v xml:space="preserve">0  </v>
      </c>
      <c r="I1943" t="str">
        <f>"2020/04/16"</f>
        <v>2020/04/16</v>
      </c>
      <c r="J1943" t="str">
        <f>"420"</f>
        <v>420</v>
      </c>
      <c r="K1943" t="s">
        <v>18</v>
      </c>
      <c r="L1943" t="s">
        <v>18</v>
      </c>
      <c r="M1943" t="s">
        <v>18</v>
      </c>
    </row>
    <row r="1944" spans="1:13" x14ac:dyDescent="0.25">
      <c r="A1944" t="str">
        <f>"00135588"</f>
        <v>00135588</v>
      </c>
      <c r="B1944" t="s">
        <v>539</v>
      </c>
      <c r="C1944" t="s">
        <v>542</v>
      </c>
      <c r="D1944" t="s">
        <v>61</v>
      </c>
      <c r="E1944" t="s">
        <v>26</v>
      </c>
      <c r="F1944" t="s">
        <v>17</v>
      </c>
      <c r="G1944" t="str">
        <f>"03"</f>
        <v>03</v>
      </c>
      <c r="H1944" t="str">
        <f>"7  "</f>
        <v xml:space="preserve">7  </v>
      </c>
      <c r="I1944" t="str">
        <f>"2020/09/09"</f>
        <v>2020/09/09</v>
      </c>
      <c r="J1944" t="str">
        <f>"502"</f>
        <v>502</v>
      </c>
      <c r="K1944" t="s">
        <v>18</v>
      </c>
      <c r="L1944" t="s">
        <v>18</v>
      </c>
      <c r="M1944" t="str">
        <f>"19760928"</f>
        <v>19760928</v>
      </c>
    </row>
    <row r="1945" spans="1:13" x14ac:dyDescent="0.25">
      <c r="A1945" t="str">
        <f>"00218304"</f>
        <v>00218304</v>
      </c>
      <c r="B1945" t="s">
        <v>543</v>
      </c>
      <c r="C1945" t="s">
        <v>74</v>
      </c>
      <c r="D1945" t="s">
        <v>61</v>
      </c>
      <c r="E1945" t="s">
        <v>16</v>
      </c>
      <c r="F1945" t="s">
        <v>17</v>
      </c>
      <c r="G1945" t="str">
        <f>"03"</f>
        <v>03</v>
      </c>
      <c r="H1945" t="str">
        <f>"0  "</f>
        <v xml:space="preserve">0  </v>
      </c>
      <c r="I1945" t="str">
        <f>"2020/09/14"</f>
        <v>2020/09/14</v>
      </c>
      <c r="J1945" t="str">
        <f>"420"</f>
        <v>420</v>
      </c>
      <c r="K1945" t="s">
        <v>18</v>
      </c>
      <c r="L1945" t="s">
        <v>18</v>
      </c>
      <c r="M1945" t="s">
        <v>18</v>
      </c>
    </row>
    <row r="1946" spans="1:13" x14ac:dyDescent="0.25">
      <c r="A1946" t="str">
        <f>"00201852"</f>
        <v>00201852</v>
      </c>
      <c r="B1946" t="s">
        <v>551</v>
      </c>
      <c r="C1946" t="s">
        <v>246</v>
      </c>
      <c r="D1946" t="s">
        <v>16</v>
      </c>
      <c r="E1946" t="s">
        <v>16</v>
      </c>
      <c r="F1946" t="s">
        <v>17</v>
      </c>
      <c r="G1946" t="str">
        <f>"03"</f>
        <v>03</v>
      </c>
      <c r="H1946" t="str">
        <f>"3  "</f>
        <v xml:space="preserve">3  </v>
      </c>
      <c r="I1946" t="str">
        <f>"2012/01/29"</f>
        <v>2012/01/29</v>
      </c>
      <c r="J1946" t="str">
        <f>"110"</f>
        <v>110</v>
      </c>
      <c r="K1946" t="str">
        <f>"20270828"</f>
        <v>20270828</v>
      </c>
      <c r="L1946" t="s">
        <v>18</v>
      </c>
      <c r="M1946" t="str">
        <f>"20101210"</f>
        <v>20101210</v>
      </c>
    </row>
    <row r="1947" spans="1:13" x14ac:dyDescent="0.25">
      <c r="A1947" t="str">
        <f>"00645122"</f>
        <v>00645122</v>
      </c>
      <c r="B1947" t="s">
        <v>551</v>
      </c>
      <c r="C1947" t="s">
        <v>552</v>
      </c>
      <c r="D1947" t="s">
        <v>25</v>
      </c>
      <c r="E1947" t="s">
        <v>16</v>
      </c>
      <c r="F1947" t="s">
        <v>17</v>
      </c>
      <c r="G1947" t="str">
        <f>"03"</f>
        <v>03</v>
      </c>
      <c r="H1947" t="str">
        <f>"3  "</f>
        <v xml:space="preserve">3  </v>
      </c>
      <c r="I1947" t="str">
        <f>"2013/07/08"</f>
        <v>2013/07/08</v>
      </c>
      <c r="J1947" t="str">
        <f>"110"</f>
        <v>110</v>
      </c>
      <c r="K1947" t="str">
        <f>"20251213"</f>
        <v>20251213</v>
      </c>
      <c r="L1947" t="s">
        <v>18</v>
      </c>
      <c r="M1947" t="str">
        <f>"20120605"</f>
        <v>20120605</v>
      </c>
    </row>
    <row r="1948" spans="1:13" x14ac:dyDescent="0.25">
      <c r="A1948" t="str">
        <f>"00661607"</f>
        <v>00661607</v>
      </c>
      <c r="B1948" t="s">
        <v>553</v>
      </c>
      <c r="C1948" t="s">
        <v>117</v>
      </c>
      <c r="D1948" t="s">
        <v>15</v>
      </c>
      <c r="E1948" t="s">
        <v>16</v>
      </c>
      <c r="F1948" t="s">
        <v>17</v>
      </c>
      <c r="G1948" t="str">
        <f>"03"</f>
        <v>03</v>
      </c>
      <c r="H1948" t="str">
        <f>"3  "</f>
        <v xml:space="preserve">3  </v>
      </c>
      <c r="I1948" t="str">
        <f>"2013/07/19"</f>
        <v>2013/07/19</v>
      </c>
      <c r="J1948" t="str">
        <f>"110"</f>
        <v>110</v>
      </c>
      <c r="K1948" t="str">
        <f>"20380119"</f>
        <v>20380119</v>
      </c>
      <c r="L1948" t="s">
        <v>18</v>
      </c>
      <c r="M1948" t="str">
        <f>"20121220"</f>
        <v>20121220</v>
      </c>
    </row>
    <row r="1949" spans="1:13" x14ac:dyDescent="0.25">
      <c r="A1949" t="str">
        <f>"00206914"</f>
        <v>00206914</v>
      </c>
      <c r="B1949" t="s">
        <v>553</v>
      </c>
      <c r="C1949" t="s">
        <v>555</v>
      </c>
      <c r="D1949" t="s">
        <v>45</v>
      </c>
      <c r="E1949" t="s">
        <v>26</v>
      </c>
      <c r="F1949" t="s">
        <v>17</v>
      </c>
      <c r="G1949" t="str">
        <f>"03"</f>
        <v>03</v>
      </c>
      <c r="H1949" t="str">
        <f>"7  "</f>
        <v xml:space="preserve">7  </v>
      </c>
      <c r="I1949" t="str">
        <f>"2020/09/03"</f>
        <v>2020/09/03</v>
      </c>
      <c r="J1949" t="str">
        <f>"502"</f>
        <v>502</v>
      </c>
      <c r="K1949" t="s">
        <v>18</v>
      </c>
      <c r="L1949" t="s">
        <v>18</v>
      </c>
      <c r="M1949" t="str">
        <f>"19921211"</f>
        <v>19921211</v>
      </c>
    </row>
    <row r="1950" spans="1:13" x14ac:dyDescent="0.25">
      <c r="A1950" t="str">
        <f>"00507830"</f>
        <v>00507830</v>
      </c>
      <c r="B1950" t="s">
        <v>561</v>
      </c>
      <c r="C1950" t="s">
        <v>169</v>
      </c>
      <c r="D1950" t="s">
        <v>21</v>
      </c>
      <c r="E1950" t="s">
        <v>16</v>
      </c>
      <c r="F1950" t="s">
        <v>17</v>
      </c>
      <c r="G1950" t="str">
        <f>"03"</f>
        <v>03</v>
      </c>
      <c r="H1950" t="str">
        <f>"3  "</f>
        <v xml:space="preserve">3  </v>
      </c>
      <c r="I1950" t="str">
        <f>"2016/01/14"</f>
        <v>2016/01/14</v>
      </c>
      <c r="J1950" t="str">
        <f>"110"</f>
        <v>110</v>
      </c>
      <c r="K1950" t="str">
        <f>"20430903"</f>
        <v>20430903</v>
      </c>
      <c r="L1950" t="s">
        <v>18</v>
      </c>
      <c r="M1950" t="str">
        <f>"20150518"</f>
        <v>20150518</v>
      </c>
    </row>
    <row r="1951" spans="1:13" x14ac:dyDescent="0.25">
      <c r="A1951" t="str">
        <f>"00715774"</f>
        <v>00715774</v>
      </c>
      <c r="B1951" t="s">
        <v>571</v>
      </c>
      <c r="C1951" t="s">
        <v>572</v>
      </c>
      <c r="D1951" t="s">
        <v>25</v>
      </c>
      <c r="E1951" t="s">
        <v>26</v>
      </c>
      <c r="F1951" t="s">
        <v>17</v>
      </c>
      <c r="G1951" t="str">
        <f>"03"</f>
        <v>03</v>
      </c>
      <c r="H1951" t="str">
        <f>"0  "</f>
        <v xml:space="preserve">0  </v>
      </c>
      <c r="I1951" t="str">
        <f>"2020/09/09"</f>
        <v>2020/09/09</v>
      </c>
      <c r="J1951" t="str">
        <f>"410"</f>
        <v>410</v>
      </c>
      <c r="K1951" t="s">
        <v>18</v>
      </c>
      <c r="L1951" t="s">
        <v>18</v>
      </c>
      <c r="M1951" t="s">
        <v>18</v>
      </c>
    </row>
    <row r="1952" spans="1:13" x14ac:dyDescent="0.25">
      <c r="A1952" t="str">
        <f>"00685421"</f>
        <v>00685421</v>
      </c>
      <c r="B1952" t="s">
        <v>584</v>
      </c>
      <c r="C1952" t="s">
        <v>585</v>
      </c>
      <c r="D1952" t="s">
        <v>40</v>
      </c>
      <c r="E1952" t="s">
        <v>26</v>
      </c>
      <c r="F1952" t="s">
        <v>17</v>
      </c>
      <c r="G1952" t="str">
        <f>"03"</f>
        <v>03</v>
      </c>
      <c r="H1952" t="str">
        <f>"0  "</f>
        <v xml:space="preserve">0  </v>
      </c>
      <c r="I1952" t="str">
        <f>"2020/01/29"</f>
        <v>2020/01/29</v>
      </c>
      <c r="J1952" t="str">
        <f>"410"</f>
        <v>410</v>
      </c>
      <c r="K1952" t="s">
        <v>18</v>
      </c>
      <c r="L1952" t="s">
        <v>18</v>
      </c>
      <c r="M1952" t="s">
        <v>18</v>
      </c>
    </row>
    <row r="1953" spans="1:13" x14ac:dyDescent="0.25">
      <c r="A1953" t="str">
        <f>"00373719"</f>
        <v>00373719</v>
      </c>
      <c r="B1953" t="s">
        <v>586</v>
      </c>
      <c r="C1953" t="s">
        <v>133</v>
      </c>
      <c r="D1953" t="s">
        <v>51</v>
      </c>
      <c r="E1953" t="s">
        <v>26</v>
      </c>
      <c r="F1953" t="s">
        <v>17</v>
      </c>
      <c r="G1953" t="str">
        <f>"03"</f>
        <v>03</v>
      </c>
      <c r="H1953" t="str">
        <f>"3  "</f>
        <v xml:space="preserve">3  </v>
      </c>
      <c r="I1953" t="str">
        <f>"2011/04/28"</f>
        <v>2011/04/28</v>
      </c>
      <c r="J1953" t="str">
        <f>"110"</f>
        <v>110</v>
      </c>
      <c r="K1953" t="str">
        <f>"20271013"</f>
        <v>20271013</v>
      </c>
      <c r="L1953" t="s">
        <v>18</v>
      </c>
      <c r="M1953" t="str">
        <f>"20110302"</f>
        <v>20110302</v>
      </c>
    </row>
    <row r="1954" spans="1:13" x14ac:dyDescent="0.25">
      <c r="A1954" t="str">
        <f>"00918180"</f>
        <v>00918180</v>
      </c>
      <c r="B1954" t="s">
        <v>586</v>
      </c>
      <c r="C1954" t="s">
        <v>254</v>
      </c>
      <c r="D1954" t="s">
        <v>40</v>
      </c>
      <c r="E1954" t="s">
        <v>16</v>
      </c>
      <c r="F1954" t="s">
        <v>17</v>
      </c>
      <c r="G1954" t="str">
        <f>"03"</f>
        <v>03</v>
      </c>
      <c r="H1954" t="str">
        <f>"0  "</f>
        <v xml:space="preserve">0  </v>
      </c>
      <c r="I1954" t="str">
        <f>"2019/10/11"</f>
        <v>2019/10/11</v>
      </c>
      <c r="J1954" t="str">
        <f>"410"</f>
        <v>410</v>
      </c>
      <c r="K1954" t="s">
        <v>18</v>
      </c>
      <c r="L1954" t="s">
        <v>18</v>
      </c>
      <c r="M1954" t="s">
        <v>18</v>
      </c>
    </row>
    <row r="1955" spans="1:13" x14ac:dyDescent="0.25">
      <c r="A1955" t="str">
        <f>"00871163"</f>
        <v>00871163</v>
      </c>
      <c r="B1955" t="s">
        <v>598</v>
      </c>
      <c r="C1955" t="s">
        <v>246</v>
      </c>
      <c r="D1955" t="s">
        <v>25</v>
      </c>
      <c r="E1955" t="s">
        <v>26</v>
      </c>
      <c r="F1955" t="s">
        <v>17</v>
      </c>
      <c r="G1955" t="str">
        <f>"03"</f>
        <v>03</v>
      </c>
      <c r="H1955" t="str">
        <f>"1  "</f>
        <v xml:space="preserve">1  </v>
      </c>
      <c r="I1955" t="str">
        <f>"2020/09/09"</f>
        <v>2020/09/09</v>
      </c>
      <c r="J1955" t="str">
        <f>"502"</f>
        <v>502</v>
      </c>
      <c r="K1955" t="str">
        <f>"20201105"</f>
        <v>20201105</v>
      </c>
      <c r="L1955" t="s">
        <v>18</v>
      </c>
      <c r="M1955" t="str">
        <f>"20200518"</f>
        <v>20200518</v>
      </c>
    </row>
    <row r="1956" spans="1:13" x14ac:dyDescent="0.25">
      <c r="A1956" t="str">
        <f>"00754049"</f>
        <v>00754049</v>
      </c>
      <c r="B1956" t="s">
        <v>602</v>
      </c>
      <c r="C1956" t="s">
        <v>603</v>
      </c>
      <c r="D1956" t="s">
        <v>25</v>
      </c>
      <c r="E1956" t="s">
        <v>26</v>
      </c>
      <c r="F1956" t="s">
        <v>17</v>
      </c>
      <c r="G1956" t="str">
        <f>"03"</f>
        <v>03</v>
      </c>
      <c r="H1956" t="str">
        <f>"3  "</f>
        <v xml:space="preserve">3  </v>
      </c>
      <c r="I1956" t="str">
        <f>"2020/08/26"</f>
        <v>2020/08/26</v>
      </c>
      <c r="J1956" t="str">
        <f>"502"</f>
        <v>502</v>
      </c>
      <c r="K1956" t="str">
        <f>"20280512"</f>
        <v>20280512</v>
      </c>
      <c r="L1956" t="s">
        <v>18</v>
      </c>
      <c r="M1956" t="str">
        <f>"20150530"</f>
        <v>20150530</v>
      </c>
    </row>
    <row r="1957" spans="1:13" x14ac:dyDescent="0.25">
      <c r="A1957" t="str">
        <f>"00353461"</f>
        <v>00353461</v>
      </c>
      <c r="B1957" t="s">
        <v>605</v>
      </c>
      <c r="C1957" t="s">
        <v>14</v>
      </c>
      <c r="D1957" t="s">
        <v>53</v>
      </c>
      <c r="E1957" t="s">
        <v>26</v>
      </c>
      <c r="F1957" t="s">
        <v>17</v>
      </c>
      <c r="G1957" t="str">
        <f>"03"</f>
        <v>03</v>
      </c>
      <c r="H1957" t="str">
        <f>"0  "</f>
        <v xml:space="preserve">0  </v>
      </c>
      <c r="I1957" t="str">
        <f>"2020/05/15"</f>
        <v>2020/05/15</v>
      </c>
      <c r="J1957" t="str">
        <f>"420"</f>
        <v>420</v>
      </c>
      <c r="K1957" t="s">
        <v>18</v>
      </c>
      <c r="L1957" t="s">
        <v>18</v>
      </c>
      <c r="M1957" t="s">
        <v>18</v>
      </c>
    </row>
    <row r="1958" spans="1:13" x14ac:dyDescent="0.25">
      <c r="A1958" t="str">
        <f>"00732923"</f>
        <v>00732923</v>
      </c>
      <c r="B1958" t="s">
        <v>605</v>
      </c>
      <c r="C1958" t="s">
        <v>302</v>
      </c>
      <c r="D1958" t="s">
        <v>25</v>
      </c>
      <c r="E1958" t="s">
        <v>26</v>
      </c>
      <c r="F1958" t="s">
        <v>17</v>
      </c>
      <c r="G1958" t="str">
        <f>"03"</f>
        <v>03</v>
      </c>
      <c r="H1958" t="str">
        <f>"3  "</f>
        <v xml:space="preserve">3  </v>
      </c>
      <c r="I1958" t="str">
        <f>"2016/05/24"</f>
        <v>2016/05/24</v>
      </c>
      <c r="J1958" t="str">
        <f>"110"</f>
        <v>110</v>
      </c>
      <c r="K1958" t="str">
        <f>"20220313"</f>
        <v>20220313</v>
      </c>
      <c r="L1958" t="s">
        <v>18</v>
      </c>
      <c r="M1958" t="str">
        <f>"20150528"</f>
        <v>20150528</v>
      </c>
    </row>
    <row r="1959" spans="1:13" x14ac:dyDescent="0.25">
      <c r="A1959" t="str">
        <f>"00425985"</f>
        <v>00425985</v>
      </c>
      <c r="B1959" t="s">
        <v>605</v>
      </c>
      <c r="C1959" t="s">
        <v>308</v>
      </c>
      <c r="D1959" t="s">
        <v>16</v>
      </c>
      <c r="E1959" t="s">
        <v>16</v>
      </c>
      <c r="F1959" t="s">
        <v>17</v>
      </c>
      <c r="G1959" t="str">
        <f>"03"</f>
        <v>03</v>
      </c>
      <c r="H1959" t="str">
        <f>"3  "</f>
        <v xml:space="preserve">3  </v>
      </c>
      <c r="I1959" t="str">
        <f>"2020/02/12"</f>
        <v>2020/02/12</v>
      </c>
      <c r="J1959" t="str">
        <f>"512"</f>
        <v>512</v>
      </c>
      <c r="K1959" t="str">
        <f>"20210520"</f>
        <v>20210520</v>
      </c>
      <c r="L1959" t="s">
        <v>18</v>
      </c>
      <c r="M1959" t="str">
        <f>"20200123"</f>
        <v>20200123</v>
      </c>
    </row>
    <row r="1960" spans="1:13" x14ac:dyDescent="0.25">
      <c r="A1960" t="str">
        <f>"00714429"</f>
        <v>00714429</v>
      </c>
      <c r="B1960" t="s">
        <v>605</v>
      </c>
      <c r="C1960" t="s">
        <v>608</v>
      </c>
      <c r="D1960" t="s">
        <v>25</v>
      </c>
      <c r="E1960" t="s">
        <v>26</v>
      </c>
      <c r="F1960" t="s">
        <v>17</v>
      </c>
      <c r="G1960" t="str">
        <f>"03"</f>
        <v>03</v>
      </c>
      <c r="H1960" t="str">
        <f>"0  "</f>
        <v xml:space="preserve">0  </v>
      </c>
      <c r="I1960" t="str">
        <f>"2020/06/09"</f>
        <v>2020/06/09</v>
      </c>
      <c r="J1960" t="str">
        <f>"510"</f>
        <v>510</v>
      </c>
      <c r="K1960" t="s">
        <v>18</v>
      </c>
      <c r="L1960" t="s">
        <v>18</v>
      </c>
      <c r="M1960" t="s">
        <v>18</v>
      </c>
    </row>
    <row r="1961" spans="1:13" x14ac:dyDescent="0.25">
      <c r="A1961" t="str">
        <f>"00410267"</f>
        <v>00410267</v>
      </c>
      <c r="B1961" t="s">
        <v>605</v>
      </c>
      <c r="C1961" t="s">
        <v>610</v>
      </c>
      <c r="D1961" t="s">
        <v>16</v>
      </c>
      <c r="E1961" t="s">
        <v>26</v>
      </c>
      <c r="F1961" t="s">
        <v>17</v>
      </c>
      <c r="G1961" t="str">
        <f>"03"</f>
        <v>03</v>
      </c>
      <c r="H1961" t="str">
        <f>"3  "</f>
        <v xml:space="preserve">3  </v>
      </c>
      <c r="I1961" t="str">
        <f>"2020/09/09"</f>
        <v>2020/09/09</v>
      </c>
      <c r="J1961" t="str">
        <f>"502"</f>
        <v>502</v>
      </c>
      <c r="K1961" t="str">
        <f>"20240922"</f>
        <v>20240922</v>
      </c>
      <c r="L1961" t="s">
        <v>18</v>
      </c>
      <c r="M1961" t="str">
        <f>"20140222"</f>
        <v>20140222</v>
      </c>
    </row>
    <row r="1962" spans="1:13" x14ac:dyDescent="0.25">
      <c r="A1962" t="str">
        <f>"00180809"</f>
        <v>00180809</v>
      </c>
      <c r="B1962" t="s">
        <v>617</v>
      </c>
      <c r="C1962" t="s">
        <v>169</v>
      </c>
      <c r="D1962" t="s">
        <v>80</v>
      </c>
      <c r="E1962" t="s">
        <v>16</v>
      </c>
      <c r="F1962" t="s">
        <v>17</v>
      </c>
      <c r="G1962" t="str">
        <f>"03"</f>
        <v>03</v>
      </c>
      <c r="H1962" t="str">
        <f>"7  "</f>
        <v xml:space="preserve">7  </v>
      </c>
      <c r="I1962" t="str">
        <f>"1984/11/28"</f>
        <v>1984/11/28</v>
      </c>
      <c r="J1962" t="str">
        <f>"510"</f>
        <v>510</v>
      </c>
      <c r="K1962" t="s">
        <v>18</v>
      </c>
      <c r="L1962" t="s">
        <v>18</v>
      </c>
      <c r="M1962" t="str">
        <f>"19831114"</f>
        <v>19831114</v>
      </c>
    </row>
    <row r="1963" spans="1:13" x14ac:dyDescent="0.25">
      <c r="A1963" t="str">
        <f>"00817609"</f>
        <v>00817609</v>
      </c>
      <c r="B1963" t="s">
        <v>622</v>
      </c>
      <c r="C1963" t="s">
        <v>140</v>
      </c>
      <c r="D1963" t="s">
        <v>25</v>
      </c>
      <c r="E1963" t="s">
        <v>26</v>
      </c>
      <c r="F1963" t="s">
        <v>17</v>
      </c>
      <c r="G1963" t="str">
        <f>"03"</f>
        <v>03</v>
      </c>
      <c r="H1963" t="str">
        <f>"3  "</f>
        <v xml:space="preserve">3  </v>
      </c>
      <c r="I1963" t="str">
        <f>"2019/01/11"</f>
        <v>2019/01/11</v>
      </c>
      <c r="J1963" t="str">
        <f>"502"</f>
        <v>502</v>
      </c>
      <c r="K1963" t="str">
        <f>"20210727"</f>
        <v>20210727</v>
      </c>
      <c r="L1963" t="s">
        <v>18</v>
      </c>
      <c r="M1963" t="str">
        <f>"20180327"</f>
        <v>20180327</v>
      </c>
    </row>
    <row r="1964" spans="1:13" x14ac:dyDescent="0.25">
      <c r="A1964" t="str">
        <f>"00294046"</f>
        <v>00294046</v>
      </c>
      <c r="B1964" t="s">
        <v>622</v>
      </c>
      <c r="C1964" t="s">
        <v>626</v>
      </c>
      <c r="D1964" t="s">
        <v>53</v>
      </c>
      <c r="E1964" t="s">
        <v>26</v>
      </c>
      <c r="F1964" t="s">
        <v>17</v>
      </c>
      <c r="G1964" t="str">
        <f>"03"</f>
        <v>03</v>
      </c>
      <c r="H1964" t="str">
        <f>"3  "</f>
        <v xml:space="preserve">3  </v>
      </c>
      <c r="I1964" t="str">
        <f>"2019/12/16"</f>
        <v>2019/12/16</v>
      </c>
      <c r="J1964" t="str">
        <f>"110"</f>
        <v>110</v>
      </c>
      <c r="K1964" t="str">
        <f>"20220310"</f>
        <v>20220310</v>
      </c>
      <c r="L1964" t="s">
        <v>18</v>
      </c>
      <c r="M1964" t="str">
        <f>"20190627"</f>
        <v>20190627</v>
      </c>
    </row>
    <row r="1965" spans="1:13" x14ac:dyDescent="0.25">
      <c r="A1965" t="str">
        <f>"00423610"</f>
        <v>00423610</v>
      </c>
      <c r="B1965" t="s">
        <v>622</v>
      </c>
      <c r="C1965" t="s">
        <v>627</v>
      </c>
      <c r="D1965" t="s">
        <v>25</v>
      </c>
      <c r="E1965" t="s">
        <v>26</v>
      </c>
      <c r="F1965" t="s">
        <v>17</v>
      </c>
      <c r="G1965" t="str">
        <f>"03"</f>
        <v>03</v>
      </c>
      <c r="H1965" t="str">
        <f>"3  "</f>
        <v xml:space="preserve">3  </v>
      </c>
      <c r="I1965" t="str">
        <f>"2015/06/19"</f>
        <v>2015/06/19</v>
      </c>
      <c r="J1965" t="str">
        <f>"502"</f>
        <v>502</v>
      </c>
      <c r="K1965" t="str">
        <f>"20230225"</f>
        <v>20230225</v>
      </c>
      <c r="L1965" t="s">
        <v>18</v>
      </c>
      <c r="M1965" t="str">
        <f>"20140206"</f>
        <v>20140206</v>
      </c>
    </row>
    <row r="1966" spans="1:13" x14ac:dyDescent="0.25">
      <c r="A1966" t="str">
        <f>"00396060"</f>
        <v>00396060</v>
      </c>
      <c r="B1966" t="s">
        <v>634</v>
      </c>
      <c r="C1966" t="s">
        <v>595</v>
      </c>
      <c r="D1966" t="s">
        <v>51</v>
      </c>
      <c r="E1966" t="s">
        <v>26</v>
      </c>
      <c r="F1966" t="s">
        <v>17</v>
      </c>
      <c r="G1966" t="str">
        <f>"03"</f>
        <v>03</v>
      </c>
      <c r="H1966" t="str">
        <f>"3  "</f>
        <v xml:space="preserve">3  </v>
      </c>
      <c r="I1966" t="str">
        <f>"2019/12/12"</f>
        <v>2019/12/12</v>
      </c>
      <c r="J1966" t="str">
        <f>"534"</f>
        <v>534</v>
      </c>
      <c r="K1966" t="str">
        <f>"20201111"</f>
        <v>20201111</v>
      </c>
      <c r="L1966" t="str">
        <f>"20210601"</f>
        <v>20210601</v>
      </c>
      <c r="M1966" t="str">
        <f>"20180310"</f>
        <v>20180310</v>
      </c>
    </row>
    <row r="1967" spans="1:13" x14ac:dyDescent="0.25">
      <c r="A1967" t="str">
        <f>"00290321"</f>
        <v>00290321</v>
      </c>
      <c r="B1967" t="s">
        <v>634</v>
      </c>
      <c r="C1967" t="s">
        <v>99</v>
      </c>
      <c r="D1967" t="s">
        <v>15</v>
      </c>
      <c r="E1967" t="s">
        <v>26</v>
      </c>
      <c r="F1967" t="s">
        <v>17</v>
      </c>
      <c r="G1967" t="str">
        <f>"03"</f>
        <v>03</v>
      </c>
      <c r="H1967" t="str">
        <f>"3  "</f>
        <v xml:space="preserve">3  </v>
      </c>
      <c r="I1967" t="str">
        <f>"2020/09/18"</f>
        <v>2020/09/18</v>
      </c>
      <c r="J1967" t="str">
        <f>"110"</f>
        <v>110</v>
      </c>
      <c r="K1967" t="str">
        <f>"20321201"</f>
        <v>20321201</v>
      </c>
      <c r="L1967" t="s">
        <v>18</v>
      </c>
      <c r="M1967" t="str">
        <f>"20190618"</f>
        <v>20190618</v>
      </c>
    </row>
    <row r="1968" spans="1:13" x14ac:dyDescent="0.25">
      <c r="A1968" t="str">
        <f>"00726082"</f>
        <v>00726082</v>
      </c>
      <c r="B1968" t="s">
        <v>634</v>
      </c>
      <c r="C1968" t="s">
        <v>99</v>
      </c>
      <c r="D1968" t="s">
        <v>61</v>
      </c>
      <c r="E1968" t="s">
        <v>26</v>
      </c>
      <c r="F1968" t="s">
        <v>17</v>
      </c>
      <c r="G1968" t="str">
        <f>"03"</f>
        <v>03</v>
      </c>
      <c r="H1968" t="str">
        <f>"0  "</f>
        <v xml:space="preserve">0  </v>
      </c>
      <c r="I1968" t="str">
        <f>"2020/01/28"</f>
        <v>2020/01/28</v>
      </c>
      <c r="J1968" t="str">
        <f>"410"</f>
        <v>410</v>
      </c>
      <c r="K1968" t="s">
        <v>18</v>
      </c>
      <c r="L1968" t="s">
        <v>18</v>
      </c>
      <c r="M1968" t="s">
        <v>18</v>
      </c>
    </row>
    <row r="1969" spans="1:13" x14ac:dyDescent="0.25">
      <c r="A1969" t="str">
        <f>"00494288"</f>
        <v>00494288</v>
      </c>
      <c r="B1969" t="s">
        <v>634</v>
      </c>
      <c r="C1969" t="s">
        <v>353</v>
      </c>
      <c r="D1969" t="s">
        <v>25</v>
      </c>
      <c r="E1969" t="s">
        <v>26</v>
      </c>
      <c r="F1969" t="s">
        <v>17</v>
      </c>
      <c r="G1969" t="str">
        <f>"03"</f>
        <v>03</v>
      </c>
      <c r="H1969" t="str">
        <f>"3  "</f>
        <v xml:space="preserve">3  </v>
      </c>
      <c r="I1969" t="str">
        <f>"2020/09/10"</f>
        <v>2020/09/10</v>
      </c>
      <c r="J1969" t="str">
        <f>"502"</f>
        <v>502</v>
      </c>
      <c r="K1969" t="str">
        <f>"20310705"</f>
        <v>20310705</v>
      </c>
      <c r="L1969" t="s">
        <v>18</v>
      </c>
      <c r="M1969" t="str">
        <f>"20140109"</f>
        <v>20140109</v>
      </c>
    </row>
    <row r="1970" spans="1:13" x14ac:dyDescent="0.25">
      <c r="A1970" t="str">
        <f>"00257459"</f>
        <v>00257459</v>
      </c>
      <c r="B1970" t="s">
        <v>634</v>
      </c>
      <c r="C1970" t="s">
        <v>248</v>
      </c>
      <c r="D1970" t="s">
        <v>61</v>
      </c>
      <c r="E1970" t="s">
        <v>26</v>
      </c>
      <c r="F1970" t="s">
        <v>17</v>
      </c>
      <c r="G1970" t="str">
        <f>"03"</f>
        <v>03</v>
      </c>
      <c r="H1970" t="str">
        <f>"3  "</f>
        <v xml:space="preserve">3  </v>
      </c>
      <c r="I1970" t="str">
        <f>"2010/03/01"</f>
        <v>2010/03/01</v>
      </c>
      <c r="J1970" t="str">
        <f>"110"</f>
        <v>110</v>
      </c>
      <c r="K1970" t="str">
        <f>"20281009"</f>
        <v>20281009</v>
      </c>
      <c r="L1970" t="s">
        <v>18</v>
      </c>
      <c r="M1970" t="str">
        <f>"20090715"</f>
        <v>20090715</v>
      </c>
    </row>
    <row r="1971" spans="1:13" x14ac:dyDescent="0.25">
      <c r="A1971" t="str">
        <f>"00757556"</f>
        <v>00757556</v>
      </c>
      <c r="B1971" t="s">
        <v>634</v>
      </c>
      <c r="C1971" t="s">
        <v>649</v>
      </c>
      <c r="D1971" t="s">
        <v>15</v>
      </c>
      <c r="E1971" t="s">
        <v>26</v>
      </c>
      <c r="F1971" t="s">
        <v>17</v>
      </c>
      <c r="G1971" t="str">
        <f>"03"</f>
        <v>03</v>
      </c>
      <c r="H1971" t="str">
        <f>"1  "</f>
        <v xml:space="preserve">1  </v>
      </c>
      <c r="I1971" t="str">
        <f>"2020/08/10"</f>
        <v>2020/08/10</v>
      </c>
      <c r="J1971" t="str">
        <f>"110"</f>
        <v>110</v>
      </c>
      <c r="K1971" t="str">
        <f>"20210128"</f>
        <v>20210128</v>
      </c>
      <c r="L1971" t="s">
        <v>18</v>
      </c>
      <c r="M1971" t="str">
        <f>"20200517"</f>
        <v>20200517</v>
      </c>
    </row>
    <row r="1972" spans="1:13" x14ac:dyDescent="0.25">
      <c r="A1972" t="str">
        <f>"00767315"</f>
        <v>00767315</v>
      </c>
      <c r="B1972" t="s">
        <v>634</v>
      </c>
      <c r="C1972" t="s">
        <v>652</v>
      </c>
      <c r="D1972" t="s">
        <v>25</v>
      </c>
      <c r="E1972" t="s">
        <v>26</v>
      </c>
      <c r="F1972" t="s">
        <v>17</v>
      </c>
      <c r="G1972" t="str">
        <f>"03"</f>
        <v>03</v>
      </c>
      <c r="H1972" t="str">
        <f>"0  "</f>
        <v xml:space="preserve">0  </v>
      </c>
      <c r="I1972" t="str">
        <f>"2020/05/12"</f>
        <v>2020/05/12</v>
      </c>
      <c r="J1972" t="str">
        <f>"410"</f>
        <v>410</v>
      </c>
      <c r="K1972" t="s">
        <v>18</v>
      </c>
      <c r="L1972" t="s">
        <v>18</v>
      </c>
      <c r="M1972" t="s">
        <v>18</v>
      </c>
    </row>
    <row r="1973" spans="1:13" x14ac:dyDescent="0.25">
      <c r="A1973" t="str">
        <f>"00132786"</f>
        <v>00132786</v>
      </c>
      <c r="B1973" t="s">
        <v>634</v>
      </c>
      <c r="C1973" t="s">
        <v>653</v>
      </c>
      <c r="D1973" t="s">
        <v>45</v>
      </c>
      <c r="E1973" t="s">
        <v>16</v>
      </c>
      <c r="F1973" t="s">
        <v>17</v>
      </c>
      <c r="G1973" t="str">
        <f>"03"</f>
        <v>03</v>
      </c>
      <c r="H1973" t="str">
        <f>"3  "</f>
        <v xml:space="preserve">3  </v>
      </c>
      <c r="I1973" t="str">
        <f>"2019/07/26"</f>
        <v>2019/07/26</v>
      </c>
      <c r="J1973" t="str">
        <f>"110"</f>
        <v>110</v>
      </c>
      <c r="K1973" t="str">
        <f>"20470828"</f>
        <v>20470828</v>
      </c>
      <c r="L1973" t="s">
        <v>18</v>
      </c>
      <c r="M1973" t="str">
        <f>"20181023"</f>
        <v>20181023</v>
      </c>
    </row>
    <row r="1974" spans="1:13" x14ac:dyDescent="0.25">
      <c r="A1974" t="str">
        <f>"00273108"</f>
        <v>00273108</v>
      </c>
      <c r="B1974" t="s">
        <v>634</v>
      </c>
      <c r="C1974" t="s">
        <v>655</v>
      </c>
      <c r="D1974" t="s">
        <v>51</v>
      </c>
      <c r="E1974" t="s">
        <v>26</v>
      </c>
      <c r="F1974" t="s">
        <v>17</v>
      </c>
      <c r="G1974" t="str">
        <f>"03"</f>
        <v>03</v>
      </c>
      <c r="H1974" t="str">
        <f>"3  "</f>
        <v xml:space="preserve">3  </v>
      </c>
      <c r="I1974" t="str">
        <f>"2012/03/11"</f>
        <v>2012/03/11</v>
      </c>
      <c r="J1974" t="str">
        <f>"110"</f>
        <v>110</v>
      </c>
      <c r="K1974" t="str">
        <f>"20230509"</f>
        <v>20230509</v>
      </c>
      <c r="L1974" t="s">
        <v>18</v>
      </c>
      <c r="M1974" t="str">
        <f>"20111214"</f>
        <v>20111214</v>
      </c>
    </row>
    <row r="1975" spans="1:13" x14ac:dyDescent="0.25">
      <c r="A1975" t="str">
        <f>"00315954"</f>
        <v>00315954</v>
      </c>
      <c r="B1975" t="s">
        <v>634</v>
      </c>
      <c r="C1975" t="s">
        <v>657</v>
      </c>
      <c r="D1975" t="s">
        <v>53</v>
      </c>
      <c r="E1975" t="s">
        <v>26</v>
      </c>
      <c r="F1975" t="s">
        <v>17</v>
      </c>
      <c r="G1975" t="str">
        <f>"03"</f>
        <v>03</v>
      </c>
      <c r="H1975" t="str">
        <f>"3  "</f>
        <v xml:space="preserve">3  </v>
      </c>
      <c r="I1975" t="str">
        <f>"2017/09/27"</f>
        <v>2017/09/27</v>
      </c>
      <c r="J1975" t="str">
        <f>"110"</f>
        <v>110</v>
      </c>
      <c r="K1975" t="str">
        <f>"20391124"</f>
        <v>20391124</v>
      </c>
      <c r="L1975" t="s">
        <v>18</v>
      </c>
      <c r="M1975" t="str">
        <f>"20170710"</f>
        <v>20170710</v>
      </c>
    </row>
    <row r="1976" spans="1:13" x14ac:dyDescent="0.25">
      <c r="A1976" t="str">
        <f>"00528690"</f>
        <v>00528690</v>
      </c>
      <c r="B1976" t="s">
        <v>634</v>
      </c>
      <c r="C1976" t="s">
        <v>662</v>
      </c>
      <c r="D1976" t="s">
        <v>21</v>
      </c>
      <c r="E1976" t="s">
        <v>26</v>
      </c>
      <c r="F1976" t="s">
        <v>17</v>
      </c>
      <c r="G1976" t="str">
        <f>"03"</f>
        <v>03</v>
      </c>
      <c r="H1976" t="str">
        <f>"3  "</f>
        <v xml:space="preserve">3  </v>
      </c>
      <c r="I1976" t="str">
        <f>"2017/04/04"</f>
        <v>2017/04/04</v>
      </c>
      <c r="J1976" t="str">
        <f>"120"</f>
        <v>120</v>
      </c>
      <c r="K1976" t="str">
        <f>"20250829"</f>
        <v>20250829</v>
      </c>
      <c r="L1976" t="s">
        <v>18</v>
      </c>
      <c r="M1976" t="str">
        <f>"20161221"</f>
        <v>20161221</v>
      </c>
    </row>
    <row r="1977" spans="1:13" x14ac:dyDescent="0.25">
      <c r="A1977" t="str">
        <f>"00193538"</f>
        <v>00193538</v>
      </c>
      <c r="B1977" t="s">
        <v>634</v>
      </c>
      <c r="C1977" t="s">
        <v>138</v>
      </c>
      <c r="D1977" t="s">
        <v>51</v>
      </c>
      <c r="E1977" t="s">
        <v>26</v>
      </c>
      <c r="F1977" t="s">
        <v>17</v>
      </c>
      <c r="G1977" t="str">
        <f>"03"</f>
        <v>03</v>
      </c>
      <c r="H1977" t="str">
        <f>"3  "</f>
        <v xml:space="preserve">3  </v>
      </c>
      <c r="I1977" t="str">
        <f>"2006/09/14"</f>
        <v>2006/09/14</v>
      </c>
      <c r="J1977" t="str">
        <f>"502"</f>
        <v>502</v>
      </c>
      <c r="K1977" t="str">
        <f>"20220910"</f>
        <v>20220910</v>
      </c>
      <c r="L1977" t="s">
        <v>18</v>
      </c>
      <c r="M1977" t="str">
        <f>"19990206"</f>
        <v>19990206</v>
      </c>
    </row>
    <row r="1978" spans="1:13" x14ac:dyDescent="0.25">
      <c r="A1978" t="str">
        <f>"00174820"</f>
        <v>00174820</v>
      </c>
      <c r="B1978" t="s">
        <v>665</v>
      </c>
      <c r="C1978" t="s">
        <v>666</v>
      </c>
      <c r="D1978" t="s">
        <v>16</v>
      </c>
      <c r="E1978" t="s">
        <v>26</v>
      </c>
      <c r="F1978" t="s">
        <v>17</v>
      </c>
      <c r="G1978" t="str">
        <f>"03"</f>
        <v>03</v>
      </c>
      <c r="H1978" t="str">
        <f>"3  "</f>
        <v xml:space="preserve">3  </v>
      </c>
      <c r="I1978" t="str">
        <f>"2020/09/09"</f>
        <v>2020/09/09</v>
      </c>
      <c r="J1978" t="str">
        <f>"502"</f>
        <v>502</v>
      </c>
      <c r="K1978" t="str">
        <f>"20201028"</f>
        <v>20201028</v>
      </c>
      <c r="L1978" t="s">
        <v>18</v>
      </c>
      <c r="M1978" t="str">
        <f>"20180801"</f>
        <v>20180801</v>
      </c>
    </row>
    <row r="1979" spans="1:13" x14ac:dyDescent="0.25">
      <c r="A1979" t="str">
        <f>"00902231"</f>
        <v>00902231</v>
      </c>
      <c r="B1979" t="s">
        <v>667</v>
      </c>
      <c r="C1979" t="s">
        <v>232</v>
      </c>
      <c r="D1979" t="s">
        <v>25</v>
      </c>
      <c r="E1979" t="s">
        <v>16</v>
      </c>
      <c r="F1979" t="s">
        <v>17</v>
      </c>
      <c r="G1979" t="str">
        <f>"03"</f>
        <v>03</v>
      </c>
      <c r="H1979" t="str">
        <f>"0  "</f>
        <v xml:space="preserve">0  </v>
      </c>
      <c r="I1979" t="str">
        <f>"2020/03/31"</f>
        <v>2020/03/31</v>
      </c>
      <c r="J1979" t="str">
        <f>"420"</f>
        <v>420</v>
      </c>
      <c r="K1979" t="s">
        <v>18</v>
      </c>
      <c r="L1979" t="s">
        <v>18</v>
      </c>
      <c r="M1979" t="s">
        <v>18</v>
      </c>
    </row>
    <row r="1980" spans="1:13" x14ac:dyDescent="0.25">
      <c r="A1980" t="str">
        <f>"00527702"</f>
        <v>00527702</v>
      </c>
      <c r="B1980" t="s">
        <v>670</v>
      </c>
      <c r="C1980" t="s">
        <v>120</v>
      </c>
      <c r="D1980" t="s">
        <v>25</v>
      </c>
      <c r="E1980" t="s">
        <v>16</v>
      </c>
      <c r="F1980" t="s">
        <v>17</v>
      </c>
      <c r="G1980" t="str">
        <f>"03"</f>
        <v>03</v>
      </c>
      <c r="H1980" t="str">
        <f>"0  "</f>
        <v xml:space="preserve">0  </v>
      </c>
      <c r="I1980" t="str">
        <f>"2020/09/08"</f>
        <v>2020/09/08</v>
      </c>
      <c r="J1980" t="str">
        <f>"420"</f>
        <v>420</v>
      </c>
      <c r="K1980" t="s">
        <v>18</v>
      </c>
      <c r="L1980" t="s">
        <v>18</v>
      </c>
      <c r="M1980" t="s">
        <v>18</v>
      </c>
    </row>
    <row r="1981" spans="1:13" x14ac:dyDescent="0.25">
      <c r="A1981" t="str">
        <f>"00542063"</f>
        <v>00542063</v>
      </c>
      <c r="B1981" t="s">
        <v>670</v>
      </c>
      <c r="C1981" t="s">
        <v>398</v>
      </c>
      <c r="D1981" t="s">
        <v>51</v>
      </c>
      <c r="E1981" t="s">
        <v>16</v>
      </c>
      <c r="F1981" t="s">
        <v>17</v>
      </c>
      <c r="G1981" t="str">
        <f>"03"</f>
        <v>03</v>
      </c>
      <c r="H1981" t="str">
        <f>"1  "</f>
        <v xml:space="preserve">1  </v>
      </c>
      <c r="I1981" t="str">
        <f>"2020/06/25"</f>
        <v>2020/06/25</v>
      </c>
      <c r="J1981" t="str">
        <f>"120"</f>
        <v>120</v>
      </c>
      <c r="K1981" t="str">
        <f>"20210226"</f>
        <v>20210226</v>
      </c>
      <c r="L1981" t="s">
        <v>18</v>
      </c>
      <c r="M1981" t="str">
        <f>"20200615"</f>
        <v>20200615</v>
      </c>
    </row>
    <row r="1982" spans="1:13" x14ac:dyDescent="0.25">
      <c r="A1982" t="str">
        <f>"00314923"</f>
        <v>00314923</v>
      </c>
      <c r="B1982" t="s">
        <v>681</v>
      </c>
      <c r="C1982" t="s">
        <v>159</v>
      </c>
      <c r="D1982" t="s">
        <v>45</v>
      </c>
      <c r="E1982" t="s">
        <v>16</v>
      </c>
      <c r="F1982" t="s">
        <v>17</v>
      </c>
      <c r="G1982" t="str">
        <f>"03"</f>
        <v>03</v>
      </c>
      <c r="H1982" t="str">
        <f>"0  "</f>
        <v xml:space="preserve">0  </v>
      </c>
      <c r="I1982" t="str">
        <f>"2019/05/24"</f>
        <v>2019/05/24</v>
      </c>
      <c r="J1982" t="str">
        <f>"410"</f>
        <v>410</v>
      </c>
      <c r="K1982" t="s">
        <v>18</v>
      </c>
      <c r="L1982" t="s">
        <v>18</v>
      </c>
      <c r="M1982" t="s">
        <v>18</v>
      </c>
    </row>
    <row r="1983" spans="1:13" x14ac:dyDescent="0.25">
      <c r="A1983" t="str">
        <f>"00104937"</f>
        <v>00104937</v>
      </c>
      <c r="B1983" t="s">
        <v>682</v>
      </c>
      <c r="C1983" t="s">
        <v>327</v>
      </c>
      <c r="D1983" t="s">
        <v>51</v>
      </c>
      <c r="E1983" t="s">
        <v>16</v>
      </c>
      <c r="F1983" t="s">
        <v>17</v>
      </c>
      <c r="G1983" t="str">
        <f>"03"</f>
        <v>03</v>
      </c>
      <c r="H1983" t="str">
        <f>"3  "</f>
        <v xml:space="preserve">3  </v>
      </c>
      <c r="I1983" t="str">
        <f>"2014/07/21"</f>
        <v>2014/07/21</v>
      </c>
      <c r="J1983" t="str">
        <f>"110"</f>
        <v>110</v>
      </c>
      <c r="K1983" t="str">
        <f>"20310326"</f>
        <v>20310326</v>
      </c>
      <c r="L1983" t="s">
        <v>18</v>
      </c>
      <c r="M1983" t="str">
        <f>"20140204"</f>
        <v>20140204</v>
      </c>
    </row>
    <row r="1984" spans="1:13" x14ac:dyDescent="0.25">
      <c r="A1984" t="str">
        <f>"00725318"</f>
        <v>00725318</v>
      </c>
      <c r="B1984" t="s">
        <v>683</v>
      </c>
      <c r="C1984" t="s">
        <v>524</v>
      </c>
      <c r="D1984" t="s">
        <v>80</v>
      </c>
      <c r="E1984" t="s">
        <v>16</v>
      </c>
      <c r="F1984" t="s">
        <v>17</v>
      </c>
      <c r="G1984" t="str">
        <f>"03"</f>
        <v>03</v>
      </c>
      <c r="H1984" t="str">
        <f>"0  "</f>
        <v xml:space="preserve">0  </v>
      </c>
      <c r="I1984" t="str">
        <f>"2020/07/02"</f>
        <v>2020/07/02</v>
      </c>
      <c r="J1984" t="str">
        <f>"410"</f>
        <v>410</v>
      </c>
      <c r="K1984" t="s">
        <v>18</v>
      </c>
      <c r="L1984" t="s">
        <v>18</v>
      </c>
      <c r="M1984" t="s">
        <v>18</v>
      </c>
    </row>
    <row r="1985" spans="1:13" x14ac:dyDescent="0.25">
      <c r="A1985" t="str">
        <f>"00313405"</f>
        <v>00313405</v>
      </c>
      <c r="B1985" t="s">
        <v>691</v>
      </c>
      <c r="C1985" t="s">
        <v>693</v>
      </c>
      <c r="D1985" t="s">
        <v>21</v>
      </c>
      <c r="E1985" t="s">
        <v>26</v>
      </c>
      <c r="F1985" t="s">
        <v>17</v>
      </c>
      <c r="G1985" t="str">
        <f>"03"</f>
        <v>03</v>
      </c>
      <c r="H1985" t="str">
        <f>"3  "</f>
        <v xml:space="preserve">3  </v>
      </c>
      <c r="I1985" t="str">
        <f>"2019/04/08"</f>
        <v>2019/04/08</v>
      </c>
      <c r="J1985" t="str">
        <f>"506"</f>
        <v>506</v>
      </c>
      <c r="K1985" t="str">
        <f>"20210110"</f>
        <v>20210110</v>
      </c>
      <c r="L1985" t="s">
        <v>18</v>
      </c>
      <c r="M1985" t="str">
        <f>"20190403"</f>
        <v>20190403</v>
      </c>
    </row>
    <row r="1986" spans="1:13" x14ac:dyDescent="0.25">
      <c r="A1986" t="str">
        <f>"00787996"</f>
        <v>00787996</v>
      </c>
      <c r="B1986" t="s">
        <v>695</v>
      </c>
      <c r="C1986" t="s">
        <v>696</v>
      </c>
      <c r="D1986" t="s">
        <v>61</v>
      </c>
      <c r="E1986" t="s">
        <v>26</v>
      </c>
      <c r="F1986" t="s">
        <v>17</v>
      </c>
      <c r="G1986" t="str">
        <f>"03"</f>
        <v>03</v>
      </c>
      <c r="H1986" t="str">
        <f>"0  "</f>
        <v xml:space="preserve">0  </v>
      </c>
      <c r="I1986" t="str">
        <f>"2020/08/11"</f>
        <v>2020/08/11</v>
      </c>
      <c r="J1986" t="str">
        <f>"410"</f>
        <v>410</v>
      </c>
      <c r="K1986" t="s">
        <v>18</v>
      </c>
      <c r="L1986" t="s">
        <v>18</v>
      </c>
      <c r="M1986" t="s">
        <v>18</v>
      </c>
    </row>
    <row r="1987" spans="1:13" x14ac:dyDescent="0.25">
      <c r="A1987" t="str">
        <f>"00469097"</f>
        <v>00469097</v>
      </c>
      <c r="B1987" t="s">
        <v>697</v>
      </c>
      <c r="C1987" t="s">
        <v>329</v>
      </c>
      <c r="D1987" t="s">
        <v>61</v>
      </c>
      <c r="E1987" t="s">
        <v>26</v>
      </c>
      <c r="F1987" t="s">
        <v>17</v>
      </c>
      <c r="G1987" t="str">
        <f>"03"</f>
        <v>03</v>
      </c>
      <c r="H1987" t="str">
        <f>"3  "</f>
        <v xml:space="preserve">3  </v>
      </c>
      <c r="I1987" t="str">
        <f>"2015/04/24"</f>
        <v>2015/04/24</v>
      </c>
      <c r="J1987" t="str">
        <f>"110"</f>
        <v>110</v>
      </c>
      <c r="K1987" t="str">
        <f>"20211123"</f>
        <v>20211123</v>
      </c>
      <c r="L1987" t="s">
        <v>18</v>
      </c>
      <c r="M1987" t="str">
        <f>"20150314"</f>
        <v>20150314</v>
      </c>
    </row>
    <row r="1988" spans="1:13" x14ac:dyDescent="0.25">
      <c r="A1988" t="str">
        <f>"00495480"</f>
        <v>00495480</v>
      </c>
      <c r="B1988" t="s">
        <v>705</v>
      </c>
      <c r="C1988" t="s">
        <v>55</v>
      </c>
      <c r="D1988" t="s">
        <v>21</v>
      </c>
      <c r="E1988" t="s">
        <v>16</v>
      </c>
      <c r="F1988" t="s">
        <v>17</v>
      </c>
      <c r="G1988" t="str">
        <f>"03"</f>
        <v>03</v>
      </c>
      <c r="H1988" t="str">
        <f>"3  "</f>
        <v xml:space="preserve">3  </v>
      </c>
      <c r="I1988" t="str">
        <f>"2020/09/02"</f>
        <v>2020/09/02</v>
      </c>
      <c r="J1988" t="str">
        <f>"512"</f>
        <v>512</v>
      </c>
      <c r="K1988" t="str">
        <f>"20271116"</f>
        <v>20271116</v>
      </c>
      <c r="L1988" t="s">
        <v>18</v>
      </c>
      <c r="M1988" t="str">
        <f>"20200819"</f>
        <v>20200819</v>
      </c>
    </row>
    <row r="1989" spans="1:13" x14ac:dyDescent="0.25">
      <c r="A1989" t="str">
        <f>"00334178"</f>
        <v>00334178</v>
      </c>
      <c r="B1989" t="s">
        <v>711</v>
      </c>
      <c r="C1989" t="s">
        <v>55</v>
      </c>
      <c r="D1989" t="s">
        <v>47</v>
      </c>
      <c r="E1989" t="s">
        <v>16</v>
      </c>
      <c r="F1989" t="s">
        <v>17</v>
      </c>
      <c r="G1989" t="str">
        <f>"03"</f>
        <v>03</v>
      </c>
      <c r="H1989" t="str">
        <f>"3  "</f>
        <v xml:space="preserve">3  </v>
      </c>
      <c r="I1989" t="str">
        <f>"2010/03/02"</f>
        <v>2010/03/02</v>
      </c>
      <c r="J1989" t="str">
        <f>"502"</f>
        <v>502</v>
      </c>
      <c r="K1989" t="str">
        <f>"20380326"</f>
        <v>20380326</v>
      </c>
      <c r="L1989" t="s">
        <v>18</v>
      </c>
      <c r="M1989" t="str">
        <f>"20070110"</f>
        <v>20070110</v>
      </c>
    </row>
    <row r="1990" spans="1:13" x14ac:dyDescent="0.25">
      <c r="A1990" t="str">
        <f>"00359137"</f>
        <v>00359137</v>
      </c>
      <c r="B1990" t="s">
        <v>720</v>
      </c>
      <c r="C1990" t="s">
        <v>721</v>
      </c>
      <c r="D1990" t="s">
        <v>15</v>
      </c>
      <c r="E1990" t="s">
        <v>26</v>
      </c>
      <c r="F1990" t="s">
        <v>17</v>
      </c>
      <c r="G1990" t="str">
        <f>"03"</f>
        <v>03</v>
      </c>
      <c r="H1990" t="str">
        <f>"0  "</f>
        <v xml:space="preserve">0  </v>
      </c>
      <c r="I1990" t="str">
        <f>"2020/05/20"</f>
        <v>2020/05/20</v>
      </c>
      <c r="J1990" t="str">
        <f>"410"</f>
        <v>410</v>
      </c>
      <c r="K1990" t="s">
        <v>18</v>
      </c>
      <c r="L1990" t="s">
        <v>18</v>
      </c>
      <c r="M1990" t="s">
        <v>18</v>
      </c>
    </row>
    <row r="1991" spans="1:13" x14ac:dyDescent="0.25">
      <c r="A1991" t="str">
        <f>"00876998"</f>
        <v>00876998</v>
      </c>
      <c r="B1991" t="s">
        <v>720</v>
      </c>
      <c r="C1991" t="s">
        <v>96</v>
      </c>
      <c r="D1991" t="s">
        <v>80</v>
      </c>
      <c r="E1991" t="s">
        <v>16</v>
      </c>
      <c r="F1991" t="s">
        <v>17</v>
      </c>
      <c r="G1991" t="str">
        <f>"03"</f>
        <v>03</v>
      </c>
      <c r="H1991" t="str">
        <f>"3  "</f>
        <v xml:space="preserve">3  </v>
      </c>
      <c r="I1991" t="str">
        <f>"2018/09/19"</f>
        <v>2018/09/19</v>
      </c>
      <c r="J1991" t="str">
        <f>"110"</f>
        <v>110</v>
      </c>
      <c r="K1991" t="str">
        <f>"20210413"</f>
        <v>20210413</v>
      </c>
      <c r="L1991" t="s">
        <v>18</v>
      </c>
      <c r="M1991" t="str">
        <f>"20180919"</f>
        <v>20180919</v>
      </c>
    </row>
    <row r="1992" spans="1:13" x14ac:dyDescent="0.25">
      <c r="A1992" t="str">
        <f>"00699053"</f>
        <v>00699053</v>
      </c>
      <c r="B1992" t="s">
        <v>720</v>
      </c>
      <c r="C1992" t="s">
        <v>724</v>
      </c>
      <c r="D1992" t="s">
        <v>25</v>
      </c>
      <c r="E1992" t="s">
        <v>26</v>
      </c>
      <c r="F1992" t="s">
        <v>17</v>
      </c>
      <c r="G1992" t="str">
        <f>"03"</f>
        <v>03</v>
      </c>
      <c r="H1992" t="str">
        <f>"0  "</f>
        <v xml:space="preserve">0  </v>
      </c>
      <c r="I1992" t="str">
        <f>"2020/05/06"</f>
        <v>2020/05/06</v>
      </c>
      <c r="J1992" t="str">
        <f>"410"</f>
        <v>410</v>
      </c>
      <c r="K1992" t="s">
        <v>18</v>
      </c>
      <c r="L1992" t="s">
        <v>18</v>
      </c>
      <c r="M1992" t="s">
        <v>18</v>
      </c>
    </row>
    <row r="1993" spans="1:13" x14ac:dyDescent="0.25">
      <c r="A1993" t="str">
        <f>"00903591"</f>
        <v>00903591</v>
      </c>
      <c r="B1993" t="s">
        <v>726</v>
      </c>
      <c r="C1993" t="s">
        <v>727</v>
      </c>
      <c r="D1993" t="s">
        <v>25</v>
      </c>
      <c r="E1993" t="s">
        <v>26</v>
      </c>
      <c r="F1993" t="s">
        <v>17</v>
      </c>
      <c r="G1993" t="str">
        <f>"03"</f>
        <v>03</v>
      </c>
      <c r="H1993" t="str">
        <f>"0  "</f>
        <v xml:space="preserve">0  </v>
      </c>
      <c r="I1993" t="str">
        <f>"2020/09/21"</f>
        <v>2020/09/21</v>
      </c>
      <c r="J1993" t="str">
        <f>"420"</f>
        <v>420</v>
      </c>
      <c r="K1993" t="s">
        <v>18</v>
      </c>
      <c r="L1993" t="s">
        <v>18</v>
      </c>
      <c r="M1993" t="s">
        <v>18</v>
      </c>
    </row>
    <row r="1994" spans="1:13" x14ac:dyDescent="0.25">
      <c r="A1994" t="str">
        <f>"00457303"</f>
        <v>00457303</v>
      </c>
      <c r="B1994" t="s">
        <v>737</v>
      </c>
      <c r="C1994" t="s">
        <v>738</v>
      </c>
      <c r="D1994" t="s">
        <v>45</v>
      </c>
      <c r="E1994" t="s">
        <v>16</v>
      </c>
      <c r="F1994" t="s">
        <v>17</v>
      </c>
      <c r="G1994" t="str">
        <f>"03"</f>
        <v>03</v>
      </c>
      <c r="H1994" t="str">
        <f>"3  "</f>
        <v xml:space="preserve">3  </v>
      </c>
      <c r="I1994" t="str">
        <f>"2020/09/10"</f>
        <v>2020/09/10</v>
      </c>
      <c r="J1994" t="str">
        <f>"502"</f>
        <v>502</v>
      </c>
      <c r="K1994" t="str">
        <f>"20260113"</f>
        <v>20260113</v>
      </c>
      <c r="L1994" t="s">
        <v>18</v>
      </c>
      <c r="M1994" t="str">
        <f>"20191026"</f>
        <v>20191026</v>
      </c>
    </row>
    <row r="1995" spans="1:13" x14ac:dyDescent="0.25">
      <c r="A1995" t="str">
        <f>"00226979"</f>
        <v>00226979</v>
      </c>
      <c r="B1995" t="s">
        <v>751</v>
      </c>
      <c r="C1995" t="s">
        <v>752</v>
      </c>
      <c r="D1995" t="s">
        <v>25</v>
      </c>
      <c r="E1995" t="s">
        <v>26</v>
      </c>
      <c r="F1995" t="s">
        <v>17</v>
      </c>
      <c r="G1995" t="str">
        <f>"03"</f>
        <v>03</v>
      </c>
      <c r="H1995" t="str">
        <f>"0  "</f>
        <v xml:space="preserve">0  </v>
      </c>
      <c r="I1995" t="str">
        <f>"2020/02/28"</f>
        <v>2020/02/28</v>
      </c>
      <c r="J1995" t="str">
        <f>"410"</f>
        <v>410</v>
      </c>
      <c r="K1995" t="s">
        <v>18</v>
      </c>
      <c r="L1995" t="s">
        <v>18</v>
      </c>
      <c r="M1995" t="s">
        <v>18</v>
      </c>
    </row>
    <row r="1996" spans="1:13" x14ac:dyDescent="0.25">
      <c r="A1996" t="str">
        <f>"00235682"</f>
        <v>00235682</v>
      </c>
      <c r="B1996" t="s">
        <v>751</v>
      </c>
      <c r="C1996" t="s">
        <v>99</v>
      </c>
      <c r="D1996" t="s">
        <v>80</v>
      </c>
      <c r="E1996" t="s">
        <v>26</v>
      </c>
      <c r="F1996" t="s">
        <v>17</v>
      </c>
      <c r="G1996" t="str">
        <f>"03"</f>
        <v>03</v>
      </c>
      <c r="H1996" t="str">
        <f>"1  "</f>
        <v xml:space="preserve">1  </v>
      </c>
      <c r="I1996" t="str">
        <f>"2020/07/24"</f>
        <v>2020/07/24</v>
      </c>
      <c r="J1996" t="str">
        <f>"512"</f>
        <v>512</v>
      </c>
      <c r="K1996" t="str">
        <f>"20200928"</f>
        <v>20200928</v>
      </c>
      <c r="L1996" t="s">
        <v>18</v>
      </c>
      <c r="M1996" t="str">
        <f>"20200707"</f>
        <v>20200707</v>
      </c>
    </row>
    <row r="1997" spans="1:13" x14ac:dyDescent="0.25">
      <c r="A1997" t="str">
        <f>"00629376"</f>
        <v>00629376</v>
      </c>
      <c r="B1997" t="s">
        <v>751</v>
      </c>
      <c r="C1997" t="s">
        <v>755</v>
      </c>
      <c r="D1997" t="s">
        <v>80</v>
      </c>
      <c r="E1997" t="s">
        <v>16</v>
      </c>
      <c r="F1997" t="s">
        <v>17</v>
      </c>
      <c r="G1997" t="str">
        <f>"03"</f>
        <v>03</v>
      </c>
      <c r="H1997" t="str">
        <f>"0  "</f>
        <v xml:space="preserve">0  </v>
      </c>
      <c r="I1997" t="str">
        <f>"2020/09/20"</f>
        <v>2020/09/20</v>
      </c>
      <c r="J1997" t="str">
        <f>"420"</f>
        <v>420</v>
      </c>
      <c r="K1997" t="s">
        <v>18</v>
      </c>
      <c r="L1997" t="s">
        <v>18</v>
      </c>
      <c r="M1997" t="s">
        <v>18</v>
      </c>
    </row>
    <row r="1998" spans="1:13" x14ac:dyDescent="0.25">
      <c r="A1998" t="str">
        <f>"00567446"</f>
        <v>00567446</v>
      </c>
      <c r="B1998" t="s">
        <v>751</v>
      </c>
      <c r="C1998" t="s">
        <v>756</v>
      </c>
      <c r="D1998" t="s">
        <v>51</v>
      </c>
      <c r="E1998" t="s">
        <v>26</v>
      </c>
      <c r="F1998" t="s">
        <v>17</v>
      </c>
      <c r="G1998" t="str">
        <f>"03"</f>
        <v>03</v>
      </c>
      <c r="H1998" t="str">
        <f>"3  "</f>
        <v xml:space="preserve">3  </v>
      </c>
      <c r="I1998" t="str">
        <f>"2010/11/18"</f>
        <v>2010/11/18</v>
      </c>
      <c r="J1998" t="str">
        <f>"502"</f>
        <v>502</v>
      </c>
      <c r="K1998" t="str">
        <f>"20221101"</f>
        <v>20221101</v>
      </c>
      <c r="L1998" t="s">
        <v>18</v>
      </c>
      <c r="M1998" t="str">
        <f>"20060421"</f>
        <v>20060421</v>
      </c>
    </row>
    <row r="1999" spans="1:13" x14ac:dyDescent="0.25">
      <c r="A1999" t="str">
        <f>"00609690"</f>
        <v>00609690</v>
      </c>
      <c r="B1999" t="s">
        <v>766</v>
      </c>
      <c r="C1999" t="s">
        <v>767</v>
      </c>
      <c r="D1999" t="s">
        <v>40</v>
      </c>
      <c r="E1999" t="s">
        <v>16</v>
      </c>
      <c r="F1999" t="s">
        <v>17</v>
      </c>
      <c r="G1999" t="str">
        <f>"03"</f>
        <v>03</v>
      </c>
      <c r="H1999" t="str">
        <f>"3  "</f>
        <v xml:space="preserve">3  </v>
      </c>
      <c r="I1999" t="str">
        <f>"2020/01/16"</f>
        <v>2020/01/16</v>
      </c>
      <c r="J1999" t="str">
        <f>"120"</f>
        <v>120</v>
      </c>
      <c r="K1999" t="str">
        <f>"20241010"</f>
        <v>20241010</v>
      </c>
      <c r="L1999" t="s">
        <v>18</v>
      </c>
      <c r="M1999" t="str">
        <f>"20200115"</f>
        <v>20200115</v>
      </c>
    </row>
    <row r="2000" spans="1:13" x14ac:dyDescent="0.25">
      <c r="A2000" t="str">
        <f>"00853088"</f>
        <v>00853088</v>
      </c>
      <c r="B2000" t="s">
        <v>769</v>
      </c>
      <c r="C2000" t="s">
        <v>770</v>
      </c>
      <c r="D2000" t="s">
        <v>25</v>
      </c>
      <c r="E2000" t="s">
        <v>26</v>
      </c>
      <c r="F2000" t="s">
        <v>17</v>
      </c>
      <c r="G2000" t="str">
        <f>"03"</f>
        <v>03</v>
      </c>
      <c r="H2000" t="str">
        <f>"3  "</f>
        <v xml:space="preserve">3  </v>
      </c>
      <c r="I2000" t="str">
        <f>"2018/02/12"</f>
        <v>2018/02/12</v>
      </c>
      <c r="J2000" t="str">
        <f>"110"</f>
        <v>110</v>
      </c>
      <c r="K2000" t="str">
        <f>"20481005"</f>
        <v>20481005</v>
      </c>
      <c r="L2000" t="s">
        <v>18</v>
      </c>
      <c r="M2000" t="str">
        <f>"20170418"</f>
        <v>20170418</v>
      </c>
    </row>
    <row r="2001" spans="1:13" x14ac:dyDescent="0.25">
      <c r="A2001" t="str">
        <f>"00525786"</f>
        <v>00525786</v>
      </c>
      <c r="B2001" t="s">
        <v>771</v>
      </c>
      <c r="C2001" t="s">
        <v>773</v>
      </c>
      <c r="D2001" t="s">
        <v>47</v>
      </c>
      <c r="E2001" t="s">
        <v>26</v>
      </c>
      <c r="F2001" t="s">
        <v>17</v>
      </c>
      <c r="G2001" t="str">
        <f>"03"</f>
        <v>03</v>
      </c>
      <c r="H2001" t="str">
        <f>"3  "</f>
        <v xml:space="preserve">3  </v>
      </c>
      <c r="I2001" t="str">
        <f>"2020/02/19"</f>
        <v>2020/02/19</v>
      </c>
      <c r="J2001" t="str">
        <f>"502"</f>
        <v>502</v>
      </c>
      <c r="K2001" t="str">
        <f>"20260505"</f>
        <v>20260505</v>
      </c>
      <c r="L2001" t="s">
        <v>18</v>
      </c>
      <c r="M2001" t="str">
        <f>"20170519"</f>
        <v>20170519</v>
      </c>
    </row>
    <row r="2002" spans="1:13" x14ac:dyDescent="0.25">
      <c r="A2002" t="str">
        <f>"00747629"</f>
        <v>00747629</v>
      </c>
      <c r="B2002" t="s">
        <v>776</v>
      </c>
      <c r="C2002" t="s">
        <v>777</v>
      </c>
      <c r="D2002" t="s">
        <v>25</v>
      </c>
      <c r="E2002" t="s">
        <v>26</v>
      </c>
      <c r="F2002" t="s">
        <v>17</v>
      </c>
      <c r="G2002" t="str">
        <f>"03"</f>
        <v>03</v>
      </c>
      <c r="H2002" t="str">
        <f>"0  "</f>
        <v xml:space="preserve">0  </v>
      </c>
      <c r="I2002" t="str">
        <f>"2020/09/13"</f>
        <v>2020/09/13</v>
      </c>
      <c r="J2002" t="str">
        <f>"410"</f>
        <v>410</v>
      </c>
      <c r="K2002" t="s">
        <v>18</v>
      </c>
      <c r="L2002" t="s">
        <v>18</v>
      </c>
      <c r="M2002" t="s">
        <v>18</v>
      </c>
    </row>
    <row r="2003" spans="1:13" x14ac:dyDescent="0.25">
      <c r="A2003" t="str">
        <f>"00912793"</f>
        <v>00912793</v>
      </c>
      <c r="B2003" t="s">
        <v>778</v>
      </c>
      <c r="C2003" t="s">
        <v>779</v>
      </c>
      <c r="D2003" t="s">
        <v>21</v>
      </c>
      <c r="E2003" t="s">
        <v>16</v>
      </c>
      <c r="F2003" t="s">
        <v>17</v>
      </c>
      <c r="G2003" t="str">
        <f>"03"</f>
        <v>03</v>
      </c>
      <c r="H2003" t="str">
        <f>"3  "</f>
        <v xml:space="preserve">3  </v>
      </c>
      <c r="I2003" t="str">
        <f>"2020/02/18"</f>
        <v>2020/02/18</v>
      </c>
      <c r="J2003" t="str">
        <f>"512"</f>
        <v>512</v>
      </c>
      <c r="K2003" t="str">
        <f>"20220807"</f>
        <v>20220807</v>
      </c>
      <c r="L2003" t="s">
        <v>18</v>
      </c>
      <c r="M2003" t="str">
        <f>"20191127"</f>
        <v>20191127</v>
      </c>
    </row>
    <row r="2004" spans="1:13" x14ac:dyDescent="0.25">
      <c r="A2004" t="str">
        <f>"00781302"</f>
        <v>00781302</v>
      </c>
      <c r="B2004" t="s">
        <v>782</v>
      </c>
      <c r="C2004" t="s">
        <v>169</v>
      </c>
      <c r="D2004" t="s">
        <v>61</v>
      </c>
      <c r="E2004" t="s">
        <v>16</v>
      </c>
      <c r="F2004" t="s">
        <v>17</v>
      </c>
      <c r="G2004" t="str">
        <f>"03"</f>
        <v>03</v>
      </c>
      <c r="H2004" t="str">
        <f>"0  "</f>
        <v xml:space="preserve">0  </v>
      </c>
      <c r="I2004" t="str">
        <f>"2019/09/25"</f>
        <v>2019/09/25</v>
      </c>
      <c r="J2004" t="str">
        <f>"410"</f>
        <v>410</v>
      </c>
      <c r="K2004" t="s">
        <v>18</v>
      </c>
      <c r="L2004" t="s">
        <v>18</v>
      </c>
      <c r="M2004" t="s">
        <v>18</v>
      </c>
    </row>
    <row r="2005" spans="1:13" x14ac:dyDescent="0.25">
      <c r="A2005" t="str">
        <f>"00538392"</f>
        <v>00538392</v>
      </c>
      <c r="B2005" t="s">
        <v>783</v>
      </c>
      <c r="C2005" t="s">
        <v>785</v>
      </c>
      <c r="D2005" t="s">
        <v>15</v>
      </c>
      <c r="E2005" t="s">
        <v>16</v>
      </c>
      <c r="F2005" t="s">
        <v>17</v>
      </c>
      <c r="G2005" t="str">
        <f>"03"</f>
        <v>03</v>
      </c>
      <c r="H2005" t="str">
        <f>"0  "</f>
        <v xml:space="preserve">0  </v>
      </c>
      <c r="I2005" t="str">
        <f>"2020/04/16"</f>
        <v>2020/04/16</v>
      </c>
      <c r="J2005" t="str">
        <f>"410"</f>
        <v>410</v>
      </c>
      <c r="K2005" t="s">
        <v>18</v>
      </c>
      <c r="L2005" t="s">
        <v>18</v>
      </c>
      <c r="M2005" t="s">
        <v>18</v>
      </c>
    </row>
    <row r="2006" spans="1:13" x14ac:dyDescent="0.25">
      <c r="A2006" t="str">
        <f>"00351969"</f>
        <v>00351969</v>
      </c>
      <c r="B2006" t="s">
        <v>783</v>
      </c>
      <c r="C2006" t="s">
        <v>333</v>
      </c>
      <c r="D2006" t="s">
        <v>15</v>
      </c>
      <c r="E2006" t="s">
        <v>26</v>
      </c>
      <c r="F2006" t="s">
        <v>17</v>
      </c>
      <c r="G2006" t="str">
        <f>"03"</f>
        <v>03</v>
      </c>
      <c r="H2006" t="str">
        <f>"3  "</f>
        <v xml:space="preserve">3  </v>
      </c>
      <c r="I2006" t="str">
        <f>"2020/04/07"</f>
        <v>2020/04/07</v>
      </c>
      <c r="J2006" t="str">
        <f>"110"</f>
        <v>110</v>
      </c>
      <c r="K2006" t="str">
        <f>"20210517"</f>
        <v>20210517</v>
      </c>
      <c r="L2006" t="s">
        <v>18</v>
      </c>
      <c r="M2006" t="str">
        <f>"20200304"</f>
        <v>20200304</v>
      </c>
    </row>
    <row r="2007" spans="1:13" x14ac:dyDescent="0.25">
      <c r="A2007" t="str">
        <f>"00776392"</f>
        <v>00776392</v>
      </c>
      <c r="B2007" t="s">
        <v>783</v>
      </c>
      <c r="C2007" t="s">
        <v>786</v>
      </c>
      <c r="D2007" t="s">
        <v>61</v>
      </c>
      <c r="E2007" t="s">
        <v>26</v>
      </c>
      <c r="F2007" t="s">
        <v>17</v>
      </c>
      <c r="G2007" t="str">
        <f>"03"</f>
        <v>03</v>
      </c>
      <c r="H2007" t="str">
        <f>"3  "</f>
        <v xml:space="preserve">3  </v>
      </c>
      <c r="I2007" t="str">
        <f>"2019/12/09"</f>
        <v>2019/12/09</v>
      </c>
      <c r="J2007" t="str">
        <f>"110"</f>
        <v>110</v>
      </c>
      <c r="K2007" t="str">
        <f>"20211009"</f>
        <v>20211009</v>
      </c>
      <c r="L2007" t="s">
        <v>18</v>
      </c>
      <c r="M2007" t="str">
        <f>"20191209"</f>
        <v>20191209</v>
      </c>
    </row>
    <row r="2008" spans="1:13" x14ac:dyDescent="0.25">
      <c r="A2008" t="str">
        <f>"00502773"</f>
        <v>00502773</v>
      </c>
      <c r="B2008" t="s">
        <v>783</v>
      </c>
      <c r="C2008" t="s">
        <v>787</v>
      </c>
      <c r="D2008" t="s">
        <v>182</v>
      </c>
      <c r="E2008" t="s">
        <v>26</v>
      </c>
      <c r="F2008" t="s">
        <v>17</v>
      </c>
      <c r="G2008" t="str">
        <f>"03"</f>
        <v>03</v>
      </c>
      <c r="H2008" t="str">
        <f>"3  "</f>
        <v xml:space="preserve">3  </v>
      </c>
      <c r="I2008" t="str">
        <f>"2019/08/29"</f>
        <v>2019/08/29</v>
      </c>
      <c r="J2008" t="str">
        <f>"110"</f>
        <v>110</v>
      </c>
      <c r="K2008" t="str">
        <f>"20231113"</f>
        <v>20231113</v>
      </c>
      <c r="L2008" t="s">
        <v>18</v>
      </c>
      <c r="M2008" t="str">
        <f>"20190523"</f>
        <v>20190523</v>
      </c>
    </row>
    <row r="2009" spans="1:13" x14ac:dyDescent="0.25">
      <c r="A2009" t="str">
        <f>"00308942"</f>
        <v>00308942</v>
      </c>
      <c r="B2009" t="s">
        <v>783</v>
      </c>
      <c r="C2009" t="s">
        <v>233</v>
      </c>
      <c r="D2009" t="s">
        <v>21</v>
      </c>
      <c r="E2009" t="s">
        <v>26</v>
      </c>
      <c r="F2009" t="s">
        <v>17</v>
      </c>
      <c r="G2009" t="str">
        <f>"03"</f>
        <v>03</v>
      </c>
      <c r="H2009" t="str">
        <f>"3  "</f>
        <v xml:space="preserve">3  </v>
      </c>
      <c r="I2009" t="str">
        <f>"2019/07/11"</f>
        <v>2019/07/11</v>
      </c>
      <c r="J2009" t="str">
        <f>"110"</f>
        <v>110</v>
      </c>
      <c r="K2009" t="str">
        <f>"20320714"</f>
        <v>20320714</v>
      </c>
      <c r="L2009" t="s">
        <v>18</v>
      </c>
      <c r="M2009" t="str">
        <f>"20190116"</f>
        <v>20190116</v>
      </c>
    </row>
    <row r="2010" spans="1:13" x14ac:dyDescent="0.25">
      <c r="A2010" t="str">
        <f>"00186075"</f>
        <v>00186075</v>
      </c>
      <c r="B2010" t="s">
        <v>794</v>
      </c>
      <c r="C2010" t="s">
        <v>308</v>
      </c>
      <c r="D2010" t="s">
        <v>45</v>
      </c>
      <c r="E2010" t="s">
        <v>16</v>
      </c>
      <c r="F2010" t="s">
        <v>17</v>
      </c>
      <c r="G2010" t="str">
        <f>"03"</f>
        <v>03</v>
      </c>
      <c r="H2010" t="str">
        <f>"3  "</f>
        <v xml:space="preserve">3  </v>
      </c>
      <c r="I2010" t="str">
        <f>"2020/09/15"</f>
        <v>2020/09/15</v>
      </c>
      <c r="J2010" t="str">
        <f>"502"</f>
        <v>502</v>
      </c>
      <c r="K2010" t="str">
        <f>"20300721"</f>
        <v>20300721</v>
      </c>
      <c r="L2010" t="s">
        <v>18</v>
      </c>
      <c r="M2010" t="str">
        <f>"20050826"</f>
        <v>20050826</v>
      </c>
    </row>
    <row r="2011" spans="1:13" x14ac:dyDescent="0.25">
      <c r="A2011" t="str">
        <f>"00415921"</f>
        <v>00415921</v>
      </c>
      <c r="B2011" t="s">
        <v>798</v>
      </c>
      <c r="C2011" t="s">
        <v>799</v>
      </c>
      <c r="D2011" t="s">
        <v>51</v>
      </c>
      <c r="E2011" t="s">
        <v>16</v>
      </c>
      <c r="F2011" t="s">
        <v>17</v>
      </c>
      <c r="G2011" t="str">
        <f>"03"</f>
        <v>03</v>
      </c>
      <c r="H2011" t="str">
        <f>"3  "</f>
        <v xml:space="preserve">3  </v>
      </c>
      <c r="I2011" t="str">
        <f>"2020/09/01"</f>
        <v>2020/09/01</v>
      </c>
      <c r="J2011" t="str">
        <f>"502"</f>
        <v>502</v>
      </c>
      <c r="K2011" t="str">
        <f>"20210402"</f>
        <v>20210402</v>
      </c>
      <c r="L2011" t="s">
        <v>18</v>
      </c>
      <c r="M2011" t="str">
        <f>"20200303"</f>
        <v>20200303</v>
      </c>
    </row>
    <row r="2012" spans="1:13" x14ac:dyDescent="0.25">
      <c r="A2012" t="str">
        <f>"00828772"</f>
        <v>00828772</v>
      </c>
      <c r="B2012" t="s">
        <v>807</v>
      </c>
      <c r="C2012" t="s">
        <v>308</v>
      </c>
      <c r="D2012" t="s">
        <v>15</v>
      </c>
      <c r="E2012" t="s">
        <v>26</v>
      </c>
      <c r="F2012" t="s">
        <v>17</v>
      </c>
      <c r="G2012" t="str">
        <f>"03"</f>
        <v>03</v>
      </c>
      <c r="H2012" t="str">
        <f>"0  "</f>
        <v xml:space="preserve">0  </v>
      </c>
      <c r="I2012" t="str">
        <f>"2020/09/22"</f>
        <v>2020/09/22</v>
      </c>
      <c r="J2012" t="str">
        <f>"420"</f>
        <v>420</v>
      </c>
      <c r="K2012" t="s">
        <v>18</v>
      </c>
      <c r="L2012" t="s">
        <v>18</v>
      </c>
      <c r="M2012" t="s">
        <v>18</v>
      </c>
    </row>
    <row r="2013" spans="1:13" x14ac:dyDescent="0.25">
      <c r="A2013" t="str">
        <f>"00359621"</f>
        <v>00359621</v>
      </c>
      <c r="B2013" t="s">
        <v>807</v>
      </c>
      <c r="C2013" t="s">
        <v>655</v>
      </c>
      <c r="D2013" t="s">
        <v>25</v>
      </c>
      <c r="E2013" t="s">
        <v>16</v>
      </c>
      <c r="F2013" t="s">
        <v>17</v>
      </c>
      <c r="G2013" t="str">
        <f>"03"</f>
        <v>03</v>
      </c>
      <c r="H2013" t="str">
        <f>"0  "</f>
        <v xml:space="preserve">0  </v>
      </c>
      <c r="I2013" t="str">
        <f>"2020/06/26"</f>
        <v>2020/06/26</v>
      </c>
      <c r="J2013" t="str">
        <f>"420"</f>
        <v>420</v>
      </c>
      <c r="K2013" t="s">
        <v>18</v>
      </c>
      <c r="L2013" t="s">
        <v>18</v>
      </c>
      <c r="M2013" t="s">
        <v>18</v>
      </c>
    </row>
    <row r="2014" spans="1:13" x14ac:dyDescent="0.25">
      <c r="A2014" t="str">
        <f>"00582840"</f>
        <v>00582840</v>
      </c>
      <c r="B2014" t="s">
        <v>826</v>
      </c>
      <c r="C2014" t="s">
        <v>72</v>
      </c>
      <c r="D2014" t="s">
        <v>40</v>
      </c>
      <c r="E2014" t="s">
        <v>26</v>
      </c>
      <c r="F2014" t="s">
        <v>17</v>
      </c>
      <c r="G2014" t="str">
        <f>"03"</f>
        <v>03</v>
      </c>
      <c r="H2014" t="str">
        <f>"0  "</f>
        <v xml:space="preserve">0  </v>
      </c>
      <c r="I2014" t="str">
        <f>"2020/09/13"</f>
        <v>2020/09/13</v>
      </c>
      <c r="J2014" t="str">
        <f>"410"</f>
        <v>410</v>
      </c>
      <c r="K2014" t="s">
        <v>18</v>
      </c>
      <c r="L2014" t="s">
        <v>18</v>
      </c>
      <c r="M2014" t="s">
        <v>18</v>
      </c>
    </row>
    <row r="2015" spans="1:13" x14ac:dyDescent="0.25">
      <c r="A2015" t="str">
        <f>"00728520"</f>
        <v>00728520</v>
      </c>
      <c r="B2015" t="s">
        <v>848</v>
      </c>
      <c r="C2015" t="s">
        <v>849</v>
      </c>
      <c r="D2015" t="s">
        <v>51</v>
      </c>
      <c r="E2015" t="s">
        <v>16</v>
      </c>
      <c r="F2015" t="s">
        <v>17</v>
      </c>
      <c r="G2015" t="str">
        <f>"03"</f>
        <v>03</v>
      </c>
      <c r="H2015" t="str">
        <f>"3  "</f>
        <v xml:space="preserve">3  </v>
      </c>
      <c r="I2015" t="str">
        <f>"2013/06/22"</f>
        <v>2013/06/22</v>
      </c>
      <c r="J2015" t="str">
        <f>"110"</f>
        <v>110</v>
      </c>
      <c r="K2015" t="str">
        <f>"20250705"</f>
        <v>20250705</v>
      </c>
      <c r="L2015" t="s">
        <v>18</v>
      </c>
      <c r="M2015" t="str">
        <f>"20121016"</f>
        <v>20121016</v>
      </c>
    </row>
    <row r="2016" spans="1:13" x14ac:dyDescent="0.25">
      <c r="A2016" t="str">
        <f>"00220061"</f>
        <v>00220061</v>
      </c>
      <c r="B2016" t="s">
        <v>852</v>
      </c>
      <c r="C2016" t="s">
        <v>853</v>
      </c>
      <c r="D2016" t="s">
        <v>25</v>
      </c>
      <c r="E2016" t="s">
        <v>26</v>
      </c>
      <c r="F2016" t="s">
        <v>17</v>
      </c>
      <c r="G2016" t="str">
        <f>"03"</f>
        <v>03</v>
      </c>
      <c r="H2016" t="str">
        <f>"3  "</f>
        <v xml:space="preserve">3  </v>
      </c>
      <c r="I2016" t="str">
        <f>"2020/08/25"</f>
        <v>2020/08/25</v>
      </c>
      <c r="J2016" t="str">
        <f>"110"</f>
        <v>110</v>
      </c>
      <c r="K2016" t="str">
        <f>"20250616"</f>
        <v>20250616</v>
      </c>
      <c r="L2016" t="s">
        <v>18</v>
      </c>
      <c r="M2016" t="str">
        <f>"20200204"</f>
        <v>20200204</v>
      </c>
    </row>
    <row r="2017" spans="1:13" x14ac:dyDescent="0.25">
      <c r="A2017" t="str">
        <f>"00454700"</f>
        <v>00454700</v>
      </c>
      <c r="B2017" t="s">
        <v>854</v>
      </c>
      <c r="C2017" t="s">
        <v>855</v>
      </c>
      <c r="D2017" t="s">
        <v>25</v>
      </c>
      <c r="E2017" t="s">
        <v>16</v>
      </c>
      <c r="F2017" t="s">
        <v>17</v>
      </c>
      <c r="G2017" t="str">
        <f>"03"</f>
        <v>03</v>
      </c>
      <c r="H2017" t="str">
        <f>"3  "</f>
        <v xml:space="preserve">3  </v>
      </c>
      <c r="I2017" t="str">
        <f>"2019/05/29"</f>
        <v>2019/05/29</v>
      </c>
      <c r="J2017" t="str">
        <f>"110"</f>
        <v>110</v>
      </c>
      <c r="K2017" t="str">
        <f>"20210526"</f>
        <v>20210526</v>
      </c>
      <c r="L2017" t="s">
        <v>18</v>
      </c>
      <c r="M2017" t="str">
        <f>"20190312"</f>
        <v>20190312</v>
      </c>
    </row>
    <row r="2018" spans="1:13" x14ac:dyDescent="0.25">
      <c r="A2018" t="str">
        <f>"00418890"</f>
        <v>00418890</v>
      </c>
      <c r="B2018" t="s">
        <v>866</v>
      </c>
      <c r="C2018" t="s">
        <v>348</v>
      </c>
      <c r="D2018" t="s">
        <v>31</v>
      </c>
      <c r="E2018" t="s">
        <v>16</v>
      </c>
      <c r="F2018" t="s">
        <v>17</v>
      </c>
      <c r="G2018" t="str">
        <f>"03"</f>
        <v>03</v>
      </c>
      <c r="H2018" t="str">
        <f>"0  "</f>
        <v xml:space="preserve">0  </v>
      </c>
      <c r="I2018" t="str">
        <f>"2020/09/12"</f>
        <v>2020/09/12</v>
      </c>
      <c r="J2018" t="str">
        <f>"410"</f>
        <v>410</v>
      </c>
      <c r="K2018" t="s">
        <v>18</v>
      </c>
      <c r="L2018" t="s">
        <v>18</v>
      </c>
      <c r="M2018" t="s">
        <v>18</v>
      </c>
    </row>
    <row r="2019" spans="1:13" x14ac:dyDescent="0.25">
      <c r="A2019" t="str">
        <f>"00705200"</f>
        <v>00705200</v>
      </c>
      <c r="B2019" t="s">
        <v>871</v>
      </c>
      <c r="C2019" t="s">
        <v>872</v>
      </c>
      <c r="D2019" t="s">
        <v>61</v>
      </c>
      <c r="E2019" t="s">
        <v>16</v>
      </c>
      <c r="F2019" t="s">
        <v>17</v>
      </c>
      <c r="G2019" t="str">
        <f>"03"</f>
        <v>03</v>
      </c>
      <c r="H2019" t="str">
        <f>"3  "</f>
        <v xml:space="preserve">3  </v>
      </c>
      <c r="I2019" t="str">
        <f>"2013/04/14"</f>
        <v>2013/04/14</v>
      </c>
      <c r="J2019" t="str">
        <f>"110"</f>
        <v>110</v>
      </c>
      <c r="K2019" t="str">
        <f>"20561008"</f>
        <v>20561008</v>
      </c>
      <c r="L2019" t="s">
        <v>18</v>
      </c>
      <c r="M2019" t="str">
        <f>"20120802"</f>
        <v>20120802</v>
      </c>
    </row>
    <row r="2020" spans="1:13" x14ac:dyDescent="0.25">
      <c r="A2020" t="str">
        <f>"00531976"</f>
        <v>00531976</v>
      </c>
      <c r="B2020" t="s">
        <v>879</v>
      </c>
      <c r="C2020" t="s">
        <v>74</v>
      </c>
      <c r="D2020" t="s">
        <v>51</v>
      </c>
      <c r="E2020" t="s">
        <v>16</v>
      </c>
      <c r="F2020" t="s">
        <v>17</v>
      </c>
      <c r="G2020" t="str">
        <f>"03"</f>
        <v>03</v>
      </c>
      <c r="H2020" t="str">
        <f>"3  "</f>
        <v xml:space="preserve">3  </v>
      </c>
      <c r="I2020" t="str">
        <f>"2019/05/10"</f>
        <v>2019/05/10</v>
      </c>
      <c r="J2020" t="str">
        <f>"512"</f>
        <v>512</v>
      </c>
      <c r="K2020" t="str">
        <f>"20270108"</f>
        <v>20270108</v>
      </c>
      <c r="L2020" t="s">
        <v>18</v>
      </c>
      <c r="M2020" t="str">
        <f>"20190509"</f>
        <v>20190509</v>
      </c>
    </row>
    <row r="2021" spans="1:13" x14ac:dyDescent="0.25">
      <c r="A2021" t="str">
        <f>"00597925"</f>
        <v>00597925</v>
      </c>
      <c r="B2021" t="s">
        <v>880</v>
      </c>
      <c r="C2021" t="s">
        <v>881</v>
      </c>
      <c r="D2021" t="s">
        <v>40</v>
      </c>
      <c r="E2021" t="s">
        <v>16</v>
      </c>
      <c r="F2021" t="s">
        <v>17</v>
      </c>
      <c r="G2021" t="str">
        <f>"03"</f>
        <v>03</v>
      </c>
      <c r="H2021" t="str">
        <f>"3  "</f>
        <v xml:space="preserve">3  </v>
      </c>
      <c r="I2021" t="str">
        <f>"2020/02/22"</f>
        <v>2020/02/22</v>
      </c>
      <c r="J2021" t="str">
        <f>"120"</f>
        <v>120</v>
      </c>
      <c r="K2021" t="str">
        <f>"20221001"</f>
        <v>20221001</v>
      </c>
      <c r="L2021" t="s">
        <v>18</v>
      </c>
      <c r="M2021" t="str">
        <f>"20200205"</f>
        <v>20200205</v>
      </c>
    </row>
    <row r="2022" spans="1:13" x14ac:dyDescent="0.25">
      <c r="A2022" t="str">
        <f>"00547812"</f>
        <v>00547812</v>
      </c>
      <c r="B2022" t="s">
        <v>880</v>
      </c>
      <c r="C2022" t="s">
        <v>122</v>
      </c>
      <c r="D2022" t="s">
        <v>15</v>
      </c>
      <c r="E2022" t="s">
        <v>26</v>
      </c>
      <c r="F2022" t="s">
        <v>17</v>
      </c>
      <c r="G2022" t="str">
        <f>"03"</f>
        <v>03</v>
      </c>
      <c r="H2022" t="str">
        <f>"3  "</f>
        <v xml:space="preserve">3  </v>
      </c>
      <c r="I2022" t="str">
        <f>"2017/05/16"</f>
        <v>2017/05/16</v>
      </c>
      <c r="J2022" t="str">
        <f>"110"</f>
        <v>110</v>
      </c>
      <c r="K2022" t="str">
        <f>"20300719"</f>
        <v>20300719</v>
      </c>
      <c r="L2022" t="s">
        <v>18</v>
      </c>
      <c r="M2022" t="str">
        <f>"20170321"</f>
        <v>20170321</v>
      </c>
    </row>
    <row r="2023" spans="1:13" x14ac:dyDescent="0.25">
      <c r="A2023" t="str">
        <f>"00472816"</f>
        <v>00472816</v>
      </c>
      <c r="B2023" t="s">
        <v>880</v>
      </c>
      <c r="C2023" t="s">
        <v>882</v>
      </c>
      <c r="D2023" t="s">
        <v>15</v>
      </c>
      <c r="E2023" t="s">
        <v>16</v>
      </c>
      <c r="F2023" t="s">
        <v>17</v>
      </c>
      <c r="G2023" t="str">
        <f>"03"</f>
        <v>03</v>
      </c>
      <c r="H2023" t="str">
        <f>"3  "</f>
        <v xml:space="preserve">3  </v>
      </c>
      <c r="I2023" t="str">
        <f>"2017/02/24"</f>
        <v>2017/02/24</v>
      </c>
      <c r="J2023" t="str">
        <f>"110"</f>
        <v>110</v>
      </c>
      <c r="K2023" t="str">
        <f>"20411208"</f>
        <v>20411208</v>
      </c>
      <c r="L2023" t="s">
        <v>18</v>
      </c>
      <c r="M2023" t="str">
        <f>"20160321"</f>
        <v>20160321</v>
      </c>
    </row>
    <row r="2024" spans="1:13" x14ac:dyDescent="0.25">
      <c r="A2024" t="str">
        <f>"00571414"</f>
        <v>00571414</v>
      </c>
      <c r="B2024" t="s">
        <v>880</v>
      </c>
      <c r="C2024" t="s">
        <v>883</v>
      </c>
      <c r="D2024" t="s">
        <v>80</v>
      </c>
      <c r="E2024" t="s">
        <v>26</v>
      </c>
      <c r="F2024" t="s">
        <v>17</v>
      </c>
      <c r="G2024" t="str">
        <f>"03"</f>
        <v>03</v>
      </c>
      <c r="H2024" t="str">
        <f>"1  "</f>
        <v xml:space="preserve">1  </v>
      </c>
      <c r="I2024" t="str">
        <f>"2020/06/11"</f>
        <v>2020/06/11</v>
      </c>
      <c r="J2024" t="str">
        <f>"110"</f>
        <v>110</v>
      </c>
      <c r="K2024" t="str">
        <f>"20200929"</f>
        <v>20200929</v>
      </c>
      <c r="L2024" t="s">
        <v>18</v>
      </c>
      <c r="M2024" t="str">
        <f>"20200412"</f>
        <v>20200412</v>
      </c>
    </row>
    <row r="2025" spans="1:13" x14ac:dyDescent="0.25">
      <c r="A2025" t="str">
        <f>"00815467"</f>
        <v>00815467</v>
      </c>
      <c r="B2025" t="s">
        <v>902</v>
      </c>
      <c r="C2025" t="s">
        <v>218</v>
      </c>
      <c r="D2025" t="s">
        <v>26</v>
      </c>
      <c r="E2025" t="s">
        <v>16</v>
      </c>
      <c r="F2025" t="s">
        <v>17</v>
      </c>
      <c r="G2025" t="str">
        <f>"03"</f>
        <v>03</v>
      </c>
      <c r="H2025" t="str">
        <f>"0  "</f>
        <v xml:space="preserve">0  </v>
      </c>
      <c r="I2025" t="str">
        <f>"2020/01/26"</f>
        <v>2020/01/26</v>
      </c>
      <c r="J2025" t="str">
        <f>"440"</f>
        <v>440</v>
      </c>
      <c r="K2025" t="s">
        <v>18</v>
      </c>
      <c r="L2025" t="s">
        <v>18</v>
      </c>
      <c r="M2025" t="s">
        <v>18</v>
      </c>
    </row>
    <row r="2026" spans="1:13" x14ac:dyDescent="0.25">
      <c r="A2026" t="str">
        <f>"00885626"</f>
        <v>00885626</v>
      </c>
      <c r="B2026" t="s">
        <v>908</v>
      </c>
      <c r="C2026" t="s">
        <v>909</v>
      </c>
      <c r="D2026" t="s">
        <v>25</v>
      </c>
      <c r="E2026" t="s">
        <v>26</v>
      </c>
      <c r="F2026" t="s">
        <v>17</v>
      </c>
      <c r="G2026" t="str">
        <f>"03"</f>
        <v>03</v>
      </c>
      <c r="H2026" t="str">
        <f>"3  "</f>
        <v xml:space="preserve">3  </v>
      </c>
      <c r="I2026" t="str">
        <f>"2019/07/10"</f>
        <v>2019/07/10</v>
      </c>
      <c r="J2026" t="str">
        <f>"110"</f>
        <v>110</v>
      </c>
      <c r="K2026" t="str">
        <f>"20241122"</f>
        <v>20241122</v>
      </c>
      <c r="L2026" t="s">
        <v>18</v>
      </c>
      <c r="M2026" t="str">
        <f>"20190625"</f>
        <v>20190625</v>
      </c>
    </row>
    <row r="2027" spans="1:13" x14ac:dyDescent="0.25">
      <c r="A2027" t="str">
        <f>"00935493"</f>
        <v>00935493</v>
      </c>
      <c r="B2027" t="s">
        <v>913</v>
      </c>
      <c r="C2027" t="s">
        <v>914</v>
      </c>
      <c r="D2027" t="s">
        <v>25</v>
      </c>
      <c r="E2027" t="s">
        <v>16</v>
      </c>
      <c r="F2027" t="s">
        <v>17</v>
      </c>
      <c r="G2027" t="str">
        <f>"03"</f>
        <v>03</v>
      </c>
      <c r="H2027" t="str">
        <f>"0  "</f>
        <v xml:space="preserve">0  </v>
      </c>
      <c r="I2027" t="str">
        <f>"2020/08/24"</f>
        <v>2020/08/24</v>
      </c>
      <c r="J2027" t="str">
        <f>"420"</f>
        <v>420</v>
      </c>
      <c r="K2027" t="s">
        <v>18</v>
      </c>
      <c r="L2027" t="s">
        <v>18</v>
      </c>
      <c r="M2027" t="s">
        <v>18</v>
      </c>
    </row>
    <row r="2028" spans="1:13" x14ac:dyDescent="0.25">
      <c r="A2028" t="str">
        <f>"00821908"</f>
        <v>00821908</v>
      </c>
      <c r="B2028" t="s">
        <v>926</v>
      </c>
      <c r="C2028" t="s">
        <v>180</v>
      </c>
      <c r="D2028" t="s">
        <v>80</v>
      </c>
      <c r="E2028" t="s">
        <v>16</v>
      </c>
      <c r="F2028" t="s">
        <v>17</v>
      </c>
      <c r="G2028" t="str">
        <f>"03"</f>
        <v>03</v>
      </c>
      <c r="H2028" t="str">
        <f>"0  "</f>
        <v xml:space="preserve">0  </v>
      </c>
      <c r="I2028" t="str">
        <f>"2020/05/28"</f>
        <v>2020/05/28</v>
      </c>
      <c r="J2028" t="str">
        <f>"410"</f>
        <v>410</v>
      </c>
      <c r="K2028" t="s">
        <v>18</v>
      </c>
      <c r="L2028" t="s">
        <v>18</v>
      </c>
      <c r="M2028" t="s">
        <v>18</v>
      </c>
    </row>
    <row r="2029" spans="1:13" x14ac:dyDescent="0.25">
      <c r="A2029" t="str">
        <f>"00093090"</f>
        <v>00093090</v>
      </c>
      <c r="B2029" t="s">
        <v>931</v>
      </c>
      <c r="C2029" t="s">
        <v>327</v>
      </c>
      <c r="D2029" t="s">
        <v>40</v>
      </c>
      <c r="E2029" t="s">
        <v>16</v>
      </c>
      <c r="F2029" t="s">
        <v>17</v>
      </c>
      <c r="G2029" t="str">
        <f>"03"</f>
        <v>03</v>
      </c>
      <c r="H2029" t="str">
        <f>"3  "</f>
        <v xml:space="preserve">3  </v>
      </c>
      <c r="I2029" t="str">
        <f>"2020/09/09"</f>
        <v>2020/09/09</v>
      </c>
      <c r="J2029" t="str">
        <f>"502"</f>
        <v>502</v>
      </c>
      <c r="K2029" t="str">
        <f>"20330328"</f>
        <v>20330328</v>
      </c>
      <c r="L2029" t="s">
        <v>18</v>
      </c>
      <c r="M2029" t="str">
        <f>"19950606"</f>
        <v>19950606</v>
      </c>
    </row>
    <row r="2030" spans="1:13" x14ac:dyDescent="0.25">
      <c r="A2030" t="str">
        <f>"00135975"</f>
        <v>00135975</v>
      </c>
      <c r="B2030" t="s">
        <v>935</v>
      </c>
      <c r="C2030" t="s">
        <v>62</v>
      </c>
      <c r="D2030" t="s">
        <v>51</v>
      </c>
      <c r="E2030" t="s">
        <v>26</v>
      </c>
      <c r="F2030" t="s">
        <v>17</v>
      </c>
      <c r="G2030" t="str">
        <f>"03"</f>
        <v>03</v>
      </c>
      <c r="H2030" t="str">
        <f>"0  "</f>
        <v xml:space="preserve">0  </v>
      </c>
      <c r="I2030" t="str">
        <f>"2019/07/06"</f>
        <v>2019/07/06</v>
      </c>
      <c r="J2030" t="str">
        <f>"410"</f>
        <v>410</v>
      </c>
      <c r="K2030" t="s">
        <v>18</v>
      </c>
      <c r="L2030" t="s">
        <v>18</v>
      </c>
      <c r="M2030" t="s">
        <v>18</v>
      </c>
    </row>
    <row r="2031" spans="1:13" x14ac:dyDescent="0.25">
      <c r="A2031" t="str">
        <f>"00806291"</f>
        <v>00806291</v>
      </c>
      <c r="B2031" t="s">
        <v>935</v>
      </c>
      <c r="C2031" t="s">
        <v>322</v>
      </c>
      <c r="D2031" t="s">
        <v>45</v>
      </c>
      <c r="E2031" t="s">
        <v>16</v>
      </c>
      <c r="F2031" t="s">
        <v>17</v>
      </c>
      <c r="G2031" t="str">
        <f>"03"</f>
        <v>03</v>
      </c>
      <c r="H2031" t="str">
        <f>"3  "</f>
        <v xml:space="preserve">3  </v>
      </c>
      <c r="I2031" t="str">
        <f>"2020/01/14"</f>
        <v>2020/01/14</v>
      </c>
      <c r="J2031" t="str">
        <f>"512"</f>
        <v>512</v>
      </c>
      <c r="K2031" t="str">
        <f>"20211231"</f>
        <v>20211231</v>
      </c>
      <c r="L2031" t="s">
        <v>18</v>
      </c>
      <c r="M2031" t="str">
        <f>"20191223"</f>
        <v>20191223</v>
      </c>
    </row>
    <row r="2032" spans="1:13" x14ac:dyDescent="0.25">
      <c r="A2032" t="str">
        <f>"00502183"</f>
        <v>00502183</v>
      </c>
      <c r="B2032" t="s">
        <v>949</v>
      </c>
      <c r="C2032" t="s">
        <v>397</v>
      </c>
      <c r="D2032" t="s">
        <v>26</v>
      </c>
      <c r="E2032" t="s">
        <v>16</v>
      </c>
      <c r="F2032" t="s">
        <v>17</v>
      </c>
      <c r="G2032" t="str">
        <f>"03"</f>
        <v>03</v>
      </c>
      <c r="H2032" t="str">
        <f>"3  "</f>
        <v xml:space="preserve">3  </v>
      </c>
      <c r="I2032" t="str">
        <f>"2020/01/22"</f>
        <v>2020/01/22</v>
      </c>
      <c r="J2032" t="str">
        <f>"110"</f>
        <v>110</v>
      </c>
      <c r="K2032" t="str">
        <f>"20210413"</f>
        <v>20210413</v>
      </c>
      <c r="L2032" t="str">
        <f>"20200605"</f>
        <v>20200605</v>
      </c>
      <c r="M2032" t="str">
        <f>"20200121"</f>
        <v>20200121</v>
      </c>
    </row>
    <row r="2033" spans="1:13" x14ac:dyDescent="0.25">
      <c r="A2033" t="str">
        <f>"00467265"</f>
        <v>00467265</v>
      </c>
      <c r="B2033" t="s">
        <v>952</v>
      </c>
      <c r="C2033" t="s">
        <v>59</v>
      </c>
      <c r="D2033" t="s">
        <v>456</v>
      </c>
      <c r="E2033" t="s">
        <v>16</v>
      </c>
      <c r="F2033" t="s">
        <v>17</v>
      </c>
      <c r="G2033" t="str">
        <f>"03"</f>
        <v>03</v>
      </c>
      <c r="H2033" t="str">
        <f>"3  "</f>
        <v xml:space="preserve">3  </v>
      </c>
      <c r="I2033" t="str">
        <f>"2019/09/26"</f>
        <v>2019/09/26</v>
      </c>
      <c r="J2033" t="str">
        <f>"110"</f>
        <v>110</v>
      </c>
      <c r="K2033" t="str">
        <f>"20201027"</f>
        <v>20201027</v>
      </c>
      <c r="L2033" t="s">
        <v>18</v>
      </c>
      <c r="M2033" t="str">
        <f>"20190904"</f>
        <v>20190904</v>
      </c>
    </row>
    <row r="2034" spans="1:13" x14ac:dyDescent="0.25">
      <c r="A2034" t="str">
        <f>"00155990"</f>
        <v>00155990</v>
      </c>
      <c r="B2034" t="s">
        <v>961</v>
      </c>
      <c r="C2034" t="s">
        <v>49</v>
      </c>
      <c r="D2034" t="s">
        <v>16</v>
      </c>
      <c r="E2034" t="s">
        <v>16</v>
      </c>
      <c r="F2034" t="s">
        <v>17</v>
      </c>
      <c r="G2034" t="str">
        <f>"03"</f>
        <v>03</v>
      </c>
      <c r="H2034" t="str">
        <f>"7  "</f>
        <v xml:space="preserve">7  </v>
      </c>
      <c r="I2034" t="str">
        <f>"2020/09/09"</f>
        <v>2020/09/09</v>
      </c>
      <c r="J2034" t="str">
        <f>"502"</f>
        <v>502</v>
      </c>
      <c r="K2034" t="s">
        <v>18</v>
      </c>
      <c r="L2034" t="s">
        <v>18</v>
      </c>
      <c r="M2034" t="str">
        <f>"20100408"</f>
        <v>20100408</v>
      </c>
    </row>
    <row r="2035" spans="1:13" x14ac:dyDescent="0.25">
      <c r="A2035" t="str">
        <f>"00551934"</f>
        <v>00551934</v>
      </c>
      <c r="B2035" t="s">
        <v>964</v>
      </c>
      <c r="C2035" t="s">
        <v>48</v>
      </c>
      <c r="D2035" t="s">
        <v>16</v>
      </c>
      <c r="E2035" t="s">
        <v>16</v>
      </c>
      <c r="F2035" t="s">
        <v>17</v>
      </c>
      <c r="G2035" t="str">
        <f>"03"</f>
        <v>03</v>
      </c>
      <c r="H2035" t="str">
        <f>"0  "</f>
        <v xml:space="preserve">0  </v>
      </c>
      <c r="I2035" t="str">
        <f>"2020/09/18"</f>
        <v>2020/09/18</v>
      </c>
      <c r="J2035" t="str">
        <f>"410"</f>
        <v>410</v>
      </c>
      <c r="K2035" t="s">
        <v>18</v>
      </c>
      <c r="L2035" t="s">
        <v>18</v>
      </c>
      <c r="M2035" t="s">
        <v>18</v>
      </c>
    </row>
    <row r="2036" spans="1:13" x14ac:dyDescent="0.25">
      <c r="A2036" t="str">
        <f>"00411265"</f>
        <v>00411265</v>
      </c>
      <c r="B2036" t="s">
        <v>971</v>
      </c>
      <c r="C2036" t="s">
        <v>358</v>
      </c>
      <c r="D2036" t="s">
        <v>142</v>
      </c>
      <c r="E2036" t="s">
        <v>16</v>
      </c>
      <c r="F2036" t="s">
        <v>17</v>
      </c>
      <c r="G2036" t="str">
        <f>"03"</f>
        <v>03</v>
      </c>
      <c r="H2036" t="str">
        <f>"3  "</f>
        <v xml:space="preserve">3  </v>
      </c>
      <c r="I2036" t="str">
        <f>"2020/09/03"</f>
        <v>2020/09/03</v>
      </c>
      <c r="J2036" t="str">
        <f>"502"</f>
        <v>502</v>
      </c>
      <c r="K2036" t="str">
        <f>"20270217"</f>
        <v>20270217</v>
      </c>
      <c r="L2036" t="s">
        <v>18</v>
      </c>
      <c r="M2036" t="str">
        <f>"20191125"</f>
        <v>20191125</v>
      </c>
    </row>
    <row r="2037" spans="1:13" x14ac:dyDescent="0.25">
      <c r="A2037" t="str">
        <f>"00629393"</f>
        <v>00629393</v>
      </c>
      <c r="B2037" t="s">
        <v>986</v>
      </c>
      <c r="C2037" t="s">
        <v>639</v>
      </c>
      <c r="D2037" t="s">
        <v>31</v>
      </c>
      <c r="E2037" t="s">
        <v>16</v>
      </c>
      <c r="F2037" t="s">
        <v>17</v>
      </c>
      <c r="G2037" t="str">
        <f>"03"</f>
        <v>03</v>
      </c>
      <c r="H2037" t="str">
        <f>"0  "</f>
        <v xml:space="preserve">0  </v>
      </c>
      <c r="I2037" t="str">
        <f>"2020/09/10"</f>
        <v>2020/09/10</v>
      </c>
      <c r="J2037" t="str">
        <f>"410"</f>
        <v>410</v>
      </c>
      <c r="K2037" t="s">
        <v>18</v>
      </c>
      <c r="L2037" t="s">
        <v>18</v>
      </c>
      <c r="M2037" t="s">
        <v>18</v>
      </c>
    </row>
    <row r="2038" spans="1:13" x14ac:dyDescent="0.25">
      <c r="A2038" t="str">
        <f>"00250282"</f>
        <v>00250282</v>
      </c>
      <c r="B2038" t="s">
        <v>995</v>
      </c>
      <c r="C2038" t="s">
        <v>74</v>
      </c>
      <c r="D2038" t="s">
        <v>51</v>
      </c>
      <c r="E2038" t="s">
        <v>16</v>
      </c>
      <c r="F2038" t="s">
        <v>17</v>
      </c>
      <c r="G2038" t="str">
        <f>"03"</f>
        <v>03</v>
      </c>
      <c r="H2038" t="str">
        <f>"3  "</f>
        <v xml:space="preserve">3  </v>
      </c>
      <c r="I2038" t="str">
        <f>"2018/11/15"</f>
        <v>2018/11/15</v>
      </c>
      <c r="J2038" t="str">
        <f>"120"</f>
        <v>120</v>
      </c>
      <c r="K2038" t="str">
        <f>"20210613"</f>
        <v>20210613</v>
      </c>
      <c r="L2038" t="s">
        <v>18</v>
      </c>
      <c r="M2038" t="str">
        <f>"20181114"</f>
        <v>20181114</v>
      </c>
    </row>
    <row r="2039" spans="1:13" x14ac:dyDescent="0.25">
      <c r="A2039" t="str">
        <f>"00411671"</f>
        <v>00411671</v>
      </c>
      <c r="B2039" t="s">
        <v>997</v>
      </c>
      <c r="C2039" t="s">
        <v>96</v>
      </c>
      <c r="D2039" t="s">
        <v>47</v>
      </c>
      <c r="E2039" t="s">
        <v>16</v>
      </c>
      <c r="F2039" t="s">
        <v>17</v>
      </c>
      <c r="G2039" t="str">
        <f>"03"</f>
        <v>03</v>
      </c>
      <c r="H2039" t="str">
        <f>"3  "</f>
        <v xml:space="preserve">3  </v>
      </c>
      <c r="I2039" t="str">
        <f>"2020/08/05"</f>
        <v>2020/08/05</v>
      </c>
      <c r="J2039" t="str">
        <f>"110"</f>
        <v>110</v>
      </c>
      <c r="K2039" t="str">
        <f>"20270410"</f>
        <v>20270410</v>
      </c>
      <c r="L2039" t="s">
        <v>18</v>
      </c>
      <c r="M2039" t="str">
        <f>"20200112"</f>
        <v>20200112</v>
      </c>
    </row>
    <row r="2040" spans="1:13" x14ac:dyDescent="0.25">
      <c r="A2040" t="str">
        <f>"00888402"</f>
        <v>00888402</v>
      </c>
      <c r="B2040" t="s">
        <v>999</v>
      </c>
      <c r="C2040" t="s">
        <v>1000</v>
      </c>
      <c r="D2040" t="s">
        <v>25</v>
      </c>
      <c r="E2040" t="s">
        <v>16</v>
      </c>
      <c r="F2040" t="s">
        <v>17</v>
      </c>
      <c r="G2040" t="str">
        <f>"03"</f>
        <v>03</v>
      </c>
      <c r="H2040" t="str">
        <f>"3  "</f>
        <v xml:space="preserve">3  </v>
      </c>
      <c r="I2040" t="str">
        <f>"2020/02/26"</f>
        <v>2020/02/26</v>
      </c>
      <c r="J2040" t="str">
        <f>"510"</f>
        <v>510</v>
      </c>
      <c r="K2040" t="str">
        <f>"20240401"</f>
        <v>20240401</v>
      </c>
      <c r="L2040" t="s">
        <v>18</v>
      </c>
      <c r="M2040" t="str">
        <f>"20190920"</f>
        <v>20190920</v>
      </c>
    </row>
    <row r="2041" spans="1:13" x14ac:dyDescent="0.25">
      <c r="A2041" t="str">
        <f>"00298713"</f>
        <v>00298713</v>
      </c>
      <c r="B2041" t="s">
        <v>1008</v>
      </c>
      <c r="C2041" t="s">
        <v>55</v>
      </c>
      <c r="D2041" t="s">
        <v>16</v>
      </c>
      <c r="E2041" t="s">
        <v>16</v>
      </c>
      <c r="F2041" t="s">
        <v>17</v>
      </c>
      <c r="G2041" t="str">
        <f>"03"</f>
        <v>03</v>
      </c>
      <c r="H2041" t="str">
        <f>"3  "</f>
        <v xml:space="preserve">3  </v>
      </c>
      <c r="I2041" t="str">
        <f>"2019/11/05"</f>
        <v>2019/11/05</v>
      </c>
      <c r="J2041" t="str">
        <f>"110"</f>
        <v>110</v>
      </c>
      <c r="K2041" t="str">
        <f>"20210209"</f>
        <v>20210209</v>
      </c>
      <c r="L2041" t="s">
        <v>18</v>
      </c>
      <c r="M2041" t="str">
        <f>"20190710"</f>
        <v>20190710</v>
      </c>
    </row>
    <row r="2042" spans="1:13" x14ac:dyDescent="0.25">
      <c r="A2042" t="str">
        <f>"00136572"</f>
        <v>00136572</v>
      </c>
      <c r="B2042" t="s">
        <v>1009</v>
      </c>
      <c r="C2042" t="s">
        <v>96</v>
      </c>
      <c r="D2042" t="s">
        <v>61</v>
      </c>
      <c r="E2042" t="s">
        <v>16</v>
      </c>
      <c r="F2042" t="s">
        <v>17</v>
      </c>
      <c r="G2042" t="str">
        <f>"03"</f>
        <v>03</v>
      </c>
      <c r="H2042" t="str">
        <f>"7  "</f>
        <v xml:space="preserve">7  </v>
      </c>
      <c r="I2042" t="str">
        <f>"2020/09/10"</f>
        <v>2020/09/10</v>
      </c>
      <c r="J2042" t="str">
        <f>"502"</f>
        <v>502</v>
      </c>
      <c r="K2042" t="s">
        <v>18</v>
      </c>
      <c r="L2042" t="s">
        <v>18</v>
      </c>
      <c r="M2042" t="str">
        <f>"19780918"</f>
        <v>19780918</v>
      </c>
    </row>
    <row r="2043" spans="1:13" x14ac:dyDescent="0.25">
      <c r="A2043" t="str">
        <f>"00382558"</f>
        <v>00382558</v>
      </c>
      <c r="B2043" t="s">
        <v>1035</v>
      </c>
      <c r="C2043" t="s">
        <v>176</v>
      </c>
      <c r="D2043" t="s">
        <v>25</v>
      </c>
      <c r="E2043" t="s">
        <v>16</v>
      </c>
      <c r="F2043" t="s">
        <v>17</v>
      </c>
      <c r="G2043" t="str">
        <f>"03"</f>
        <v>03</v>
      </c>
      <c r="H2043" t="str">
        <f>"0  "</f>
        <v xml:space="preserve">0  </v>
      </c>
      <c r="I2043" t="str">
        <f>"2020/09/12"</f>
        <v>2020/09/12</v>
      </c>
      <c r="J2043" t="str">
        <f>"410"</f>
        <v>410</v>
      </c>
      <c r="K2043" t="s">
        <v>18</v>
      </c>
      <c r="L2043" t="s">
        <v>18</v>
      </c>
      <c r="M2043" t="s">
        <v>18</v>
      </c>
    </row>
    <row r="2044" spans="1:13" x14ac:dyDescent="0.25">
      <c r="A2044" t="str">
        <f>"00188911"</f>
        <v>00188911</v>
      </c>
      <c r="B2044" t="s">
        <v>1040</v>
      </c>
      <c r="C2044" t="s">
        <v>140</v>
      </c>
      <c r="D2044" t="s">
        <v>215</v>
      </c>
      <c r="E2044" t="s">
        <v>26</v>
      </c>
      <c r="F2044" t="s">
        <v>17</v>
      </c>
      <c r="G2044" t="str">
        <f>"03"</f>
        <v>03</v>
      </c>
      <c r="H2044" t="str">
        <f>"3  "</f>
        <v xml:space="preserve">3  </v>
      </c>
      <c r="I2044" t="str">
        <f>"2017/03/30"</f>
        <v>2017/03/30</v>
      </c>
      <c r="J2044" t="str">
        <f>"534"</f>
        <v>534</v>
      </c>
      <c r="K2044" t="str">
        <f>"20260128"</f>
        <v>20260128</v>
      </c>
      <c r="L2044" t="s">
        <v>18</v>
      </c>
      <c r="M2044" t="str">
        <f>"20131225"</f>
        <v>20131225</v>
      </c>
    </row>
    <row r="2045" spans="1:13" x14ac:dyDescent="0.25">
      <c r="A2045" t="str">
        <f>"00527399"</f>
        <v>00527399</v>
      </c>
      <c r="B2045" t="s">
        <v>1042</v>
      </c>
      <c r="C2045" t="s">
        <v>148</v>
      </c>
      <c r="D2045" t="s">
        <v>456</v>
      </c>
      <c r="E2045" t="s">
        <v>26</v>
      </c>
      <c r="F2045" t="s">
        <v>17</v>
      </c>
      <c r="G2045" t="str">
        <f>"03"</f>
        <v>03</v>
      </c>
      <c r="H2045" t="str">
        <f>"3  "</f>
        <v xml:space="preserve">3  </v>
      </c>
      <c r="I2045" t="str">
        <f>"2019/08/09"</f>
        <v>2019/08/09</v>
      </c>
      <c r="J2045" t="str">
        <f>"510"</f>
        <v>510</v>
      </c>
      <c r="K2045" t="str">
        <f>"20210624"</f>
        <v>20210624</v>
      </c>
      <c r="L2045" t="s">
        <v>18</v>
      </c>
      <c r="M2045" t="str">
        <f>"20160608"</f>
        <v>20160608</v>
      </c>
    </row>
    <row r="2046" spans="1:13" x14ac:dyDescent="0.25">
      <c r="A2046" t="str">
        <f>"00602834"</f>
        <v>00602834</v>
      </c>
      <c r="B2046" t="s">
        <v>1046</v>
      </c>
      <c r="C2046" t="s">
        <v>248</v>
      </c>
      <c r="D2046" t="s">
        <v>53</v>
      </c>
      <c r="E2046" t="s">
        <v>16</v>
      </c>
      <c r="F2046" t="s">
        <v>17</v>
      </c>
      <c r="G2046" t="str">
        <f>"03"</f>
        <v>03</v>
      </c>
      <c r="H2046" t="str">
        <f>"0  "</f>
        <v xml:space="preserve">0  </v>
      </c>
      <c r="I2046" t="str">
        <f>"2020/02/04"</f>
        <v>2020/02/04</v>
      </c>
      <c r="J2046" t="str">
        <f>"410"</f>
        <v>410</v>
      </c>
      <c r="K2046" t="s">
        <v>18</v>
      </c>
      <c r="L2046" t="s">
        <v>18</v>
      </c>
      <c r="M2046" t="s">
        <v>18</v>
      </c>
    </row>
    <row r="2047" spans="1:13" x14ac:dyDescent="0.25">
      <c r="A2047" t="str">
        <f>"00390176"</f>
        <v>00390176</v>
      </c>
      <c r="B2047" t="s">
        <v>1049</v>
      </c>
      <c r="C2047" t="s">
        <v>308</v>
      </c>
      <c r="D2047" t="s">
        <v>25</v>
      </c>
      <c r="E2047" t="s">
        <v>16</v>
      </c>
      <c r="F2047" t="s">
        <v>17</v>
      </c>
      <c r="G2047" t="str">
        <f>"03"</f>
        <v>03</v>
      </c>
      <c r="H2047" t="str">
        <f>"3  "</f>
        <v xml:space="preserve">3  </v>
      </c>
      <c r="I2047" t="str">
        <f>"2020/02/11"</f>
        <v>2020/02/11</v>
      </c>
      <c r="J2047" t="str">
        <f>"512"</f>
        <v>512</v>
      </c>
      <c r="K2047" t="str">
        <f>"20310707"</f>
        <v>20310707</v>
      </c>
      <c r="L2047" t="s">
        <v>18</v>
      </c>
      <c r="M2047" t="str">
        <f>"20200129"</f>
        <v>20200129</v>
      </c>
    </row>
    <row r="2048" spans="1:13" x14ac:dyDescent="0.25">
      <c r="A2048" t="str">
        <f>"00613593"</f>
        <v>00613593</v>
      </c>
      <c r="B2048" t="s">
        <v>1051</v>
      </c>
      <c r="C2048" t="s">
        <v>327</v>
      </c>
      <c r="D2048" t="s">
        <v>26</v>
      </c>
      <c r="E2048" t="s">
        <v>26</v>
      </c>
      <c r="F2048" t="s">
        <v>17</v>
      </c>
      <c r="G2048" t="str">
        <f>"03"</f>
        <v>03</v>
      </c>
      <c r="H2048" t="str">
        <f>"0  "</f>
        <v xml:space="preserve">0  </v>
      </c>
      <c r="I2048" t="str">
        <f>"2019/12/31"</f>
        <v>2019/12/31</v>
      </c>
      <c r="J2048" t="str">
        <f>"410"</f>
        <v>410</v>
      </c>
      <c r="K2048" t="s">
        <v>18</v>
      </c>
      <c r="L2048" t="s">
        <v>18</v>
      </c>
      <c r="M2048" t="s">
        <v>18</v>
      </c>
    </row>
    <row r="2049" spans="1:13" x14ac:dyDescent="0.25">
      <c r="A2049" t="str">
        <f>"00676585"</f>
        <v>00676585</v>
      </c>
      <c r="B2049" t="s">
        <v>1053</v>
      </c>
      <c r="C2049" t="s">
        <v>552</v>
      </c>
      <c r="D2049" t="s">
        <v>40</v>
      </c>
      <c r="E2049" t="s">
        <v>26</v>
      </c>
      <c r="F2049" t="s">
        <v>17</v>
      </c>
      <c r="G2049" t="str">
        <f>"03"</f>
        <v>03</v>
      </c>
      <c r="H2049" t="str">
        <f>"3  "</f>
        <v xml:space="preserve">3  </v>
      </c>
      <c r="I2049" t="str">
        <f>"2019/08/26"</f>
        <v>2019/08/26</v>
      </c>
      <c r="J2049" t="str">
        <f>"110"</f>
        <v>110</v>
      </c>
      <c r="K2049" t="str">
        <f>"20230521"</f>
        <v>20230521</v>
      </c>
      <c r="L2049" t="s">
        <v>18</v>
      </c>
      <c r="M2049" t="str">
        <f>"20190725"</f>
        <v>20190725</v>
      </c>
    </row>
    <row r="2050" spans="1:13" x14ac:dyDescent="0.25">
      <c r="A2050" t="str">
        <f>"00372018"</f>
        <v>00372018</v>
      </c>
      <c r="B2050" t="s">
        <v>1058</v>
      </c>
      <c r="C2050" t="s">
        <v>308</v>
      </c>
      <c r="D2050" t="s">
        <v>37</v>
      </c>
      <c r="E2050" t="s">
        <v>16</v>
      </c>
      <c r="F2050" t="s">
        <v>17</v>
      </c>
      <c r="G2050" t="str">
        <f>"03"</f>
        <v>03</v>
      </c>
      <c r="H2050" t="str">
        <f>"0  "</f>
        <v xml:space="preserve">0  </v>
      </c>
      <c r="I2050" t="str">
        <f>"2020/09/19"</f>
        <v>2020/09/19</v>
      </c>
      <c r="J2050" t="str">
        <f>"410"</f>
        <v>410</v>
      </c>
      <c r="K2050" t="s">
        <v>18</v>
      </c>
      <c r="L2050" t="s">
        <v>18</v>
      </c>
      <c r="M2050" t="s">
        <v>18</v>
      </c>
    </row>
    <row r="2051" spans="1:13" x14ac:dyDescent="0.25">
      <c r="A2051" t="str">
        <f>"00334574"</f>
        <v>00334574</v>
      </c>
      <c r="B2051" t="s">
        <v>1059</v>
      </c>
      <c r="C2051" t="s">
        <v>140</v>
      </c>
      <c r="D2051" t="s">
        <v>45</v>
      </c>
      <c r="E2051" t="s">
        <v>16</v>
      </c>
      <c r="F2051" t="s">
        <v>17</v>
      </c>
      <c r="G2051" t="str">
        <f>"03"</f>
        <v>03</v>
      </c>
      <c r="H2051" t="str">
        <f>"3  "</f>
        <v xml:space="preserve">3  </v>
      </c>
      <c r="I2051" t="str">
        <f>"2019/04/15"</f>
        <v>2019/04/15</v>
      </c>
      <c r="J2051" t="str">
        <f>"502"</f>
        <v>502</v>
      </c>
      <c r="K2051" t="str">
        <f>"20320213"</f>
        <v>20320213</v>
      </c>
      <c r="L2051" t="s">
        <v>18</v>
      </c>
      <c r="M2051" t="str">
        <f>"19950831"</f>
        <v>19950831</v>
      </c>
    </row>
    <row r="2052" spans="1:13" x14ac:dyDescent="0.25">
      <c r="A2052" t="str">
        <f>"00521225"</f>
        <v>00521225</v>
      </c>
      <c r="B2052" t="s">
        <v>1060</v>
      </c>
      <c r="C2052" t="s">
        <v>44</v>
      </c>
      <c r="D2052" t="s">
        <v>61</v>
      </c>
      <c r="E2052" t="s">
        <v>26</v>
      </c>
      <c r="F2052" t="s">
        <v>17</v>
      </c>
      <c r="G2052" t="str">
        <f>"03"</f>
        <v>03</v>
      </c>
      <c r="H2052" t="str">
        <f>"0  "</f>
        <v xml:space="preserve">0  </v>
      </c>
      <c r="I2052" t="str">
        <f>"2020/09/02"</f>
        <v>2020/09/02</v>
      </c>
      <c r="J2052" t="str">
        <f>"420"</f>
        <v>420</v>
      </c>
      <c r="K2052" t="s">
        <v>18</v>
      </c>
      <c r="L2052" t="s">
        <v>18</v>
      </c>
      <c r="M2052" t="s">
        <v>18</v>
      </c>
    </row>
    <row r="2053" spans="1:13" x14ac:dyDescent="0.25">
      <c r="A2053" t="str">
        <f>"00474148"</f>
        <v>00474148</v>
      </c>
      <c r="B2053" t="s">
        <v>1065</v>
      </c>
      <c r="C2053" t="s">
        <v>55</v>
      </c>
      <c r="D2053" t="s">
        <v>16</v>
      </c>
      <c r="E2053" t="s">
        <v>16</v>
      </c>
      <c r="F2053" t="s">
        <v>17</v>
      </c>
      <c r="G2053" t="str">
        <f>"03"</f>
        <v>03</v>
      </c>
      <c r="H2053" t="str">
        <f>"3  "</f>
        <v xml:space="preserve">3  </v>
      </c>
      <c r="I2053" t="str">
        <f>"2016/10/20"</f>
        <v>2016/10/20</v>
      </c>
      <c r="J2053" t="str">
        <f>"110"</f>
        <v>110</v>
      </c>
      <c r="K2053" t="str">
        <f>"20220626"</f>
        <v>20220626</v>
      </c>
      <c r="L2053" t="str">
        <f>"20220804"</f>
        <v>20220804</v>
      </c>
      <c r="M2053" t="str">
        <f>"20160807"</f>
        <v>20160807</v>
      </c>
    </row>
    <row r="2054" spans="1:13" x14ac:dyDescent="0.25">
      <c r="A2054" t="str">
        <f>"00571089"</f>
        <v>00571089</v>
      </c>
      <c r="B2054" t="s">
        <v>1078</v>
      </c>
      <c r="C2054" t="s">
        <v>159</v>
      </c>
      <c r="D2054" t="s">
        <v>21</v>
      </c>
      <c r="E2054" t="s">
        <v>16</v>
      </c>
      <c r="F2054" t="s">
        <v>17</v>
      </c>
      <c r="G2054" t="str">
        <f>"03"</f>
        <v>03</v>
      </c>
      <c r="H2054" t="str">
        <f>"3  "</f>
        <v xml:space="preserve">3  </v>
      </c>
      <c r="I2054" t="str">
        <f>"2019/02/05"</f>
        <v>2019/02/05</v>
      </c>
      <c r="J2054" t="str">
        <f>"110"</f>
        <v>110</v>
      </c>
      <c r="K2054" t="str">
        <f>"20290626"</f>
        <v>20290626</v>
      </c>
      <c r="L2054" t="s">
        <v>18</v>
      </c>
      <c r="M2054" t="str">
        <f>"20180919"</f>
        <v>20180919</v>
      </c>
    </row>
    <row r="2055" spans="1:13" x14ac:dyDescent="0.25">
      <c r="A2055" t="str">
        <f>"00774138"</f>
        <v>00774138</v>
      </c>
      <c r="B2055" t="s">
        <v>1096</v>
      </c>
      <c r="C2055" t="s">
        <v>320</v>
      </c>
      <c r="D2055" t="s">
        <v>15</v>
      </c>
      <c r="E2055" t="s">
        <v>16</v>
      </c>
      <c r="F2055" t="s">
        <v>17</v>
      </c>
      <c r="G2055" t="str">
        <f>"03"</f>
        <v>03</v>
      </c>
      <c r="H2055" t="str">
        <f>"0  "</f>
        <v xml:space="preserve">0  </v>
      </c>
      <c r="I2055" t="str">
        <f>"2020/09/12"</f>
        <v>2020/09/12</v>
      </c>
      <c r="J2055" t="str">
        <f>"410"</f>
        <v>410</v>
      </c>
      <c r="K2055" t="s">
        <v>18</v>
      </c>
      <c r="L2055" t="s">
        <v>18</v>
      </c>
      <c r="M2055" t="s">
        <v>18</v>
      </c>
    </row>
    <row r="2056" spans="1:13" x14ac:dyDescent="0.25">
      <c r="A2056" t="str">
        <f>"00828704"</f>
        <v>00828704</v>
      </c>
      <c r="B2056" t="s">
        <v>1101</v>
      </c>
      <c r="C2056" t="s">
        <v>1102</v>
      </c>
      <c r="D2056" t="s">
        <v>16</v>
      </c>
      <c r="E2056" t="s">
        <v>16</v>
      </c>
      <c r="F2056" t="s">
        <v>17</v>
      </c>
      <c r="G2056" t="str">
        <f>"03"</f>
        <v>03</v>
      </c>
      <c r="H2056" t="str">
        <f>"3  "</f>
        <v xml:space="preserve">3  </v>
      </c>
      <c r="I2056" t="str">
        <f>"2018/02/27"</f>
        <v>2018/02/27</v>
      </c>
      <c r="J2056" t="str">
        <f>"110"</f>
        <v>110</v>
      </c>
      <c r="K2056" t="str">
        <f>"20260830"</f>
        <v>20260830</v>
      </c>
      <c r="L2056" t="s">
        <v>18</v>
      </c>
      <c r="M2056" t="str">
        <f>"20170410"</f>
        <v>20170410</v>
      </c>
    </row>
    <row r="2057" spans="1:13" x14ac:dyDescent="0.25">
      <c r="A2057" t="str">
        <f>"00413444"</f>
        <v>00413444</v>
      </c>
      <c r="B2057" t="s">
        <v>1106</v>
      </c>
      <c r="C2057" t="s">
        <v>1108</v>
      </c>
      <c r="D2057" t="s">
        <v>53</v>
      </c>
      <c r="E2057" t="s">
        <v>26</v>
      </c>
      <c r="F2057" t="s">
        <v>17</v>
      </c>
      <c r="G2057" t="str">
        <f>"03"</f>
        <v>03</v>
      </c>
      <c r="H2057" t="str">
        <f>"3  "</f>
        <v xml:space="preserve">3  </v>
      </c>
      <c r="I2057" t="str">
        <f>"2020/04/24"</f>
        <v>2020/04/24</v>
      </c>
      <c r="J2057" t="str">
        <f>"512"</f>
        <v>512</v>
      </c>
      <c r="K2057" t="str">
        <f>"20210111"</f>
        <v>20210111</v>
      </c>
      <c r="L2057" t="s">
        <v>18</v>
      </c>
      <c r="M2057" t="str">
        <f>"20190328"</f>
        <v>20190328</v>
      </c>
    </row>
    <row r="2058" spans="1:13" x14ac:dyDescent="0.25">
      <c r="A2058" t="str">
        <f>"00386291"</f>
        <v>00386291</v>
      </c>
      <c r="B2058" t="s">
        <v>1117</v>
      </c>
      <c r="C2058" t="s">
        <v>1118</v>
      </c>
      <c r="D2058" t="s">
        <v>53</v>
      </c>
      <c r="E2058" t="s">
        <v>26</v>
      </c>
      <c r="F2058" t="s">
        <v>17</v>
      </c>
      <c r="G2058" t="str">
        <f>"03"</f>
        <v>03</v>
      </c>
      <c r="H2058" t="str">
        <f>"0  "</f>
        <v xml:space="preserve">0  </v>
      </c>
      <c r="I2058" t="str">
        <f>"2020/05/26"</f>
        <v>2020/05/26</v>
      </c>
      <c r="J2058" t="str">
        <f>"410"</f>
        <v>410</v>
      </c>
      <c r="K2058" t="s">
        <v>18</v>
      </c>
      <c r="L2058" t="s">
        <v>18</v>
      </c>
      <c r="M2058" t="s">
        <v>18</v>
      </c>
    </row>
    <row r="2059" spans="1:13" x14ac:dyDescent="0.25">
      <c r="A2059" t="str">
        <f>"00560397"</f>
        <v>00560397</v>
      </c>
      <c r="B2059" t="s">
        <v>1123</v>
      </c>
      <c r="C2059" t="s">
        <v>353</v>
      </c>
      <c r="D2059" t="s">
        <v>80</v>
      </c>
      <c r="E2059" t="s">
        <v>16</v>
      </c>
      <c r="F2059" t="s">
        <v>17</v>
      </c>
      <c r="G2059" t="str">
        <f>"03"</f>
        <v>03</v>
      </c>
      <c r="H2059" t="str">
        <f>"3  "</f>
        <v xml:space="preserve">3  </v>
      </c>
      <c r="I2059" t="str">
        <f>"2011/09/22"</f>
        <v>2011/09/22</v>
      </c>
      <c r="J2059" t="str">
        <f>"510"</f>
        <v>510</v>
      </c>
      <c r="K2059" t="str">
        <f>"20260622"</f>
        <v>20260622</v>
      </c>
      <c r="L2059" t="s">
        <v>18</v>
      </c>
      <c r="M2059" t="str">
        <f>"20110609"</f>
        <v>20110609</v>
      </c>
    </row>
    <row r="2060" spans="1:13" x14ac:dyDescent="0.25">
      <c r="A2060" t="str">
        <f>"00155029"</f>
        <v>00155029</v>
      </c>
      <c r="B2060" t="s">
        <v>1128</v>
      </c>
      <c r="C2060" t="s">
        <v>124</v>
      </c>
      <c r="D2060" t="s">
        <v>73</v>
      </c>
      <c r="E2060" t="s">
        <v>16</v>
      </c>
      <c r="F2060" t="s">
        <v>17</v>
      </c>
      <c r="G2060" t="str">
        <f>"03"</f>
        <v>03</v>
      </c>
      <c r="H2060" t="str">
        <f>"3  "</f>
        <v xml:space="preserve">3  </v>
      </c>
      <c r="I2060" t="str">
        <f>"2020/09/10"</f>
        <v>2020/09/10</v>
      </c>
      <c r="J2060" t="str">
        <f>"502"</f>
        <v>502</v>
      </c>
      <c r="K2060" t="str">
        <f>"20201008"</f>
        <v>20201008</v>
      </c>
      <c r="L2060" t="s">
        <v>18</v>
      </c>
      <c r="M2060" t="str">
        <f>"20181001"</f>
        <v>20181001</v>
      </c>
    </row>
    <row r="2061" spans="1:13" x14ac:dyDescent="0.25">
      <c r="A2061" t="str">
        <f>"00353774"</f>
        <v>00353774</v>
      </c>
      <c r="B2061" t="s">
        <v>1134</v>
      </c>
      <c r="C2061" t="s">
        <v>55</v>
      </c>
      <c r="D2061" t="s">
        <v>25</v>
      </c>
      <c r="E2061" t="s">
        <v>26</v>
      </c>
      <c r="F2061" t="s">
        <v>17</v>
      </c>
      <c r="G2061" t="str">
        <f>"03"</f>
        <v>03</v>
      </c>
      <c r="H2061" t="str">
        <f>"0  "</f>
        <v xml:space="preserve">0  </v>
      </c>
      <c r="I2061" t="str">
        <f>"2020/09/21"</f>
        <v>2020/09/21</v>
      </c>
      <c r="J2061" t="str">
        <f>"410"</f>
        <v>410</v>
      </c>
      <c r="K2061" t="s">
        <v>18</v>
      </c>
      <c r="L2061" t="s">
        <v>18</v>
      </c>
      <c r="M2061" t="s">
        <v>18</v>
      </c>
    </row>
    <row r="2062" spans="1:13" x14ac:dyDescent="0.25">
      <c r="A2062" t="str">
        <f>"00700643"</f>
        <v>00700643</v>
      </c>
      <c r="B2062" t="s">
        <v>1148</v>
      </c>
      <c r="C2062" t="s">
        <v>599</v>
      </c>
      <c r="D2062" t="s">
        <v>45</v>
      </c>
      <c r="E2062" t="s">
        <v>26</v>
      </c>
      <c r="F2062" t="s">
        <v>17</v>
      </c>
      <c r="G2062" t="str">
        <f>"03"</f>
        <v>03</v>
      </c>
      <c r="H2062" t="str">
        <f>"0  "</f>
        <v xml:space="preserve">0  </v>
      </c>
      <c r="I2062" t="str">
        <f>"2020/09/11"</f>
        <v>2020/09/11</v>
      </c>
      <c r="J2062" t="str">
        <f>"410"</f>
        <v>410</v>
      </c>
      <c r="K2062" t="s">
        <v>18</v>
      </c>
      <c r="L2062" t="s">
        <v>18</v>
      </c>
      <c r="M2062" t="s">
        <v>18</v>
      </c>
    </row>
    <row r="2063" spans="1:13" x14ac:dyDescent="0.25">
      <c r="A2063" t="str">
        <f>"00204990"</f>
        <v>00204990</v>
      </c>
      <c r="B2063" t="s">
        <v>1150</v>
      </c>
      <c r="C2063" t="s">
        <v>492</v>
      </c>
      <c r="D2063" t="s">
        <v>16</v>
      </c>
      <c r="E2063" t="s">
        <v>16</v>
      </c>
      <c r="F2063" t="s">
        <v>17</v>
      </c>
      <c r="G2063" t="str">
        <f>"03"</f>
        <v>03</v>
      </c>
      <c r="H2063" t="str">
        <f>"3  "</f>
        <v xml:space="preserve">3  </v>
      </c>
      <c r="I2063" t="str">
        <f>"2019/11/07"</f>
        <v>2019/11/07</v>
      </c>
      <c r="J2063" t="str">
        <f>"110"</f>
        <v>110</v>
      </c>
      <c r="K2063" t="str">
        <f>"20260819"</f>
        <v>20260819</v>
      </c>
      <c r="L2063" t="s">
        <v>18</v>
      </c>
      <c r="M2063" t="str">
        <f>"20190701"</f>
        <v>20190701</v>
      </c>
    </row>
    <row r="2064" spans="1:13" x14ac:dyDescent="0.25">
      <c r="A2064" t="str">
        <f>"00216877"</f>
        <v>00216877</v>
      </c>
      <c r="B2064" t="s">
        <v>1150</v>
      </c>
      <c r="C2064" t="s">
        <v>74</v>
      </c>
      <c r="D2064" t="s">
        <v>26</v>
      </c>
      <c r="E2064" t="s">
        <v>16</v>
      </c>
      <c r="F2064" t="s">
        <v>17</v>
      </c>
      <c r="G2064" t="str">
        <f>"03"</f>
        <v>03</v>
      </c>
      <c r="H2064" t="str">
        <f>"3  "</f>
        <v xml:space="preserve">3  </v>
      </c>
      <c r="I2064" t="str">
        <f>"2020/03/09"</f>
        <v>2020/03/09</v>
      </c>
      <c r="J2064" t="str">
        <f>"110"</f>
        <v>110</v>
      </c>
      <c r="K2064" t="str">
        <f>"20451118"</f>
        <v>20451118</v>
      </c>
      <c r="L2064" t="s">
        <v>18</v>
      </c>
      <c r="M2064" t="str">
        <f>"20190918"</f>
        <v>20190918</v>
      </c>
    </row>
    <row r="2065" spans="1:13" x14ac:dyDescent="0.25">
      <c r="A2065" t="str">
        <f>"00865481"</f>
        <v>00865481</v>
      </c>
      <c r="B2065" t="s">
        <v>1151</v>
      </c>
      <c r="C2065" t="s">
        <v>1154</v>
      </c>
      <c r="D2065" t="s">
        <v>80</v>
      </c>
      <c r="E2065" t="s">
        <v>26</v>
      </c>
      <c r="F2065" t="s">
        <v>17</v>
      </c>
      <c r="G2065" t="str">
        <f>"03"</f>
        <v>03</v>
      </c>
      <c r="H2065" t="str">
        <f>"0  "</f>
        <v xml:space="preserve">0  </v>
      </c>
      <c r="I2065" t="str">
        <f>"2020/06/29"</f>
        <v>2020/06/29</v>
      </c>
      <c r="J2065" t="str">
        <f>"410"</f>
        <v>410</v>
      </c>
      <c r="K2065" t="s">
        <v>18</v>
      </c>
      <c r="L2065" t="s">
        <v>18</v>
      </c>
      <c r="M2065" t="s">
        <v>18</v>
      </c>
    </row>
    <row r="2066" spans="1:13" x14ac:dyDescent="0.25">
      <c r="A2066" t="str">
        <f>"00586967"</f>
        <v>00586967</v>
      </c>
      <c r="B2066" t="s">
        <v>1151</v>
      </c>
      <c r="C2066" t="s">
        <v>1161</v>
      </c>
      <c r="D2066" t="s">
        <v>456</v>
      </c>
      <c r="E2066" t="s">
        <v>26</v>
      </c>
      <c r="F2066" t="s">
        <v>17</v>
      </c>
      <c r="G2066" t="str">
        <f>"03"</f>
        <v>03</v>
      </c>
      <c r="H2066" t="str">
        <f>"3  "</f>
        <v xml:space="preserve">3  </v>
      </c>
      <c r="I2066" t="str">
        <f>"2015/08/10"</f>
        <v>2015/08/10</v>
      </c>
      <c r="J2066" t="str">
        <f>"110"</f>
        <v>110</v>
      </c>
      <c r="K2066" t="str">
        <f>"20261201"</f>
        <v>20261201</v>
      </c>
      <c r="L2066" t="s">
        <v>18</v>
      </c>
      <c r="M2066" t="str">
        <f>"20140512"</f>
        <v>20140512</v>
      </c>
    </row>
    <row r="2067" spans="1:13" x14ac:dyDescent="0.25">
      <c r="A2067" t="str">
        <f>"00282959"</f>
        <v>00282959</v>
      </c>
      <c r="B2067" t="s">
        <v>1151</v>
      </c>
      <c r="C2067" t="s">
        <v>664</v>
      </c>
      <c r="D2067" t="s">
        <v>51</v>
      </c>
      <c r="E2067" t="s">
        <v>26</v>
      </c>
      <c r="F2067" t="s">
        <v>17</v>
      </c>
      <c r="G2067" t="str">
        <f>"03"</f>
        <v>03</v>
      </c>
      <c r="H2067" t="str">
        <f>"3  "</f>
        <v xml:space="preserve">3  </v>
      </c>
      <c r="I2067" t="str">
        <f>"2017/11/27"</f>
        <v>2017/11/27</v>
      </c>
      <c r="J2067" t="str">
        <f>"120"</f>
        <v>120</v>
      </c>
      <c r="K2067" t="str">
        <f>"20310207"</f>
        <v>20310207</v>
      </c>
      <c r="L2067" t="s">
        <v>18</v>
      </c>
      <c r="M2067" t="str">
        <f>"20171005"</f>
        <v>20171005</v>
      </c>
    </row>
    <row r="2068" spans="1:13" x14ac:dyDescent="0.25">
      <c r="A2068" t="str">
        <f>"00803279"</f>
        <v>00803279</v>
      </c>
      <c r="B2068" t="s">
        <v>1172</v>
      </c>
      <c r="C2068" t="s">
        <v>1173</v>
      </c>
      <c r="D2068" t="s">
        <v>25</v>
      </c>
      <c r="E2068" t="s">
        <v>16</v>
      </c>
      <c r="F2068" t="s">
        <v>17</v>
      </c>
      <c r="G2068" t="str">
        <f>"03"</f>
        <v>03</v>
      </c>
      <c r="H2068" t="str">
        <f>"0  "</f>
        <v xml:space="preserve">0  </v>
      </c>
      <c r="I2068" t="str">
        <f>"2020/09/13"</f>
        <v>2020/09/13</v>
      </c>
      <c r="J2068" t="str">
        <f>"410"</f>
        <v>410</v>
      </c>
      <c r="K2068" t="s">
        <v>18</v>
      </c>
      <c r="L2068" t="s">
        <v>18</v>
      </c>
      <c r="M2068" t="s">
        <v>18</v>
      </c>
    </row>
    <row r="2069" spans="1:13" x14ac:dyDescent="0.25">
      <c r="A2069" t="str">
        <f>"00626479"</f>
        <v>00626479</v>
      </c>
      <c r="B2069" t="s">
        <v>1174</v>
      </c>
      <c r="C2069" t="s">
        <v>1175</v>
      </c>
      <c r="D2069" t="s">
        <v>21</v>
      </c>
      <c r="E2069" t="s">
        <v>16</v>
      </c>
      <c r="F2069" t="s">
        <v>17</v>
      </c>
      <c r="G2069" t="str">
        <f>"03"</f>
        <v>03</v>
      </c>
      <c r="H2069" t="str">
        <f>"3  "</f>
        <v xml:space="preserve">3  </v>
      </c>
      <c r="I2069" t="str">
        <f>"2019/10/18"</f>
        <v>2019/10/18</v>
      </c>
      <c r="J2069" t="str">
        <f>"512"</f>
        <v>512</v>
      </c>
      <c r="K2069" t="str">
        <f>"20201108"</f>
        <v>20201108</v>
      </c>
      <c r="L2069" t="s">
        <v>18</v>
      </c>
      <c r="M2069" t="str">
        <f>"20191017"</f>
        <v>20191017</v>
      </c>
    </row>
    <row r="2070" spans="1:13" x14ac:dyDescent="0.25">
      <c r="A2070" t="str">
        <f>"00845216"</f>
        <v>00845216</v>
      </c>
      <c r="B2070" t="s">
        <v>1188</v>
      </c>
      <c r="C2070" t="s">
        <v>1189</v>
      </c>
      <c r="D2070" t="s">
        <v>45</v>
      </c>
      <c r="E2070" t="s">
        <v>16</v>
      </c>
      <c r="F2070" t="s">
        <v>17</v>
      </c>
      <c r="G2070" t="str">
        <f>"03"</f>
        <v>03</v>
      </c>
      <c r="H2070" t="str">
        <f>"3  "</f>
        <v xml:space="preserve">3  </v>
      </c>
      <c r="I2070" t="str">
        <f>"2020/07/24"</f>
        <v>2020/07/24</v>
      </c>
      <c r="J2070" t="str">
        <f>"502"</f>
        <v>502</v>
      </c>
      <c r="K2070" t="str">
        <f>"20390721"</f>
        <v>20390721</v>
      </c>
      <c r="L2070" t="s">
        <v>18</v>
      </c>
      <c r="M2070" t="str">
        <f>"20170406"</f>
        <v>20170406</v>
      </c>
    </row>
    <row r="2071" spans="1:13" x14ac:dyDescent="0.25">
      <c r="A2071" t="str">
        <f>"00239957"</f>
        <v>00239957</v>
      </c>
      <c r="B2071" t="s">
        <v>1198</v>
      </c>
      <c r="C2071" t="s">
        <v>74</v>
      </c>
      <c r="D2071" t="s">
        <v>25</v>
      </c>
      <c r="E2071" t="s">
        <v>16</v>
      </c>
      <c r="F2071" t="s">
        <v>17</v>
      </c>
      <c r="G2071" t="str">
        <f>"03"</f>
        <v>03</v>
      </c>
      <c r="H2071" t="str">
        <f>"3  "</f>
        <v xml:space="preserve">3  </v>
      </c>
      <c r="I2071" t="str">
        <f>"2017/10/16"</f>
        <v>2017/10/16</v>
      </c>
      <c r="J2071" t="str">
        <f>"110"</f>
        <v>110</v>
      </c>
      <c r="K2071" t="str">
        <f>"20220303"</f>
        <v>20220303</v>
      </c>
      <c r="L2071" t="s">
        <v>18</v>
      </c>
      <c r="M2071" t="str">
        <f>"20170202"</f>
        <v>20170202</v>
      </c>
    </row>
    <row r="2072" spans="1:13" x14ac:dyDescent="0.25">
      <c r="A2072" t="str">
        <f>"00317251"</f>
        <v>00317251</v>
      </c>
      <c r="B2072" t="s">
        <v>1205</v>
      </c>
      <c r="C2072" t="s">
        <v>1208</v>
      </c>
      <c r="D2072" t="s">
        <v>61</v>
      </c>
      <c r="E2072" t="s">
        <v>26</v>
      </c>
      <c r="F2072" t="s">
        <v>17</v>
      </c>
      <c r="G2072" t="str">
        <f>"03"</f>
        <v>03</v>
      </c>
      <c r="H2072" t="str">
        <f>"7  "</f>
        <v xml:space="preserve">7  </v>
      </c>
      <c r="I2072" t="str">
        <f>"2020/09/09"</f>
        <v>2020/09/09</v>
      </c>
      <c r="J2072" t="str">
        <f>"502"</f>
        <v>502</v>
      </c>
      <c r="K2072" t="s">
        <v>18</v>
      </c>
      <c r="L2072" t="s">
        <v>18</v>
      </c>
      <c r="M2072" t="str">
        <f>"20030421"</f>
        <v>20030421</v>
      </c>
    </row>
    <row r="2073" spans="1:13" x14ac:dyDescent="0.25">
      <c r="A2073" t="str">
        <f>"00451753"</f>
        <v>00451753</v>
      </c>
      <c r="B2073" t="s">
        <v>1215</v>
      </c>
      <c r="C2073" t="s">
        <v>468</v>
      </c>
      <c r="D2073" t="s">
        <v>61</v>
      </c>
      <c r="E2073" t="s">
        <v>26</v>
      </c>
      <c r="F2073" t="s">
        <v>17</v>
      </c>
      <c r="G2073" t="str">
        <f>"03"</f>
        <v>03</v>
      </c>
      <c r="H2073" t="str">
        <f>"3  "</f>
        <v xml:space="preserve">3  </v>
      </c>
      <c r="I2073" t="str">
        <f>"2020/01/30"</f>
        <v>2020/01/30</v>
      </c>
      <c r="J2073" t="str">
        <f>"512"</f>
        <v>512</v>
      </c>
      <c r="K2073" t="str">
        <f>"20260721"</f>
        <v>20260721</v>
      </c>
      <c r="L2073" t="s">
        <v>18</v>
      </c>
      <c r="M2073" t="str">
        <f>"20191230"</f>
        <v>20191230</v>
      </c>
    </row>
    <row r="2074" spans="1:13" x14ac:dyDescent="0.25">
      <c r="A2074" t="str">
        <f>"00373322"</f>
        <v>00373322</v>
      </c>
      <c r="B2074" t="s">
        <v>1221</v>
      </c>
      <c r="C2074" t="s">
        <v>1222</v>
      </c>
      <c r="D2074" t="s">
        <v>15</v>
      </c>
      <c r="E2074" t="s">
        <v>26</v>
      </c>
      <c r="F2074" t="s">
        <v>17</v>
      </c>
      <c r="G2074" t="str">
        <f>"03"</f>
        <v>03</v>
      </c>
      <c r="H2074" t="str">
        <f>"3  "</f>
        <v xml:space="preserve">3  </v>
      </c>
      <c r="I2074" t="str">
        <f>"2016/05/06"</f>
        <v>2016/05/06</v>
      </c>
      <c r="J2074" t="str">
        <f>"110"</f>
        <v>110</v>
      </c>
      <c r="K2074" t="str">
        <f>"20240217"</f>
        <v>20240217</v>
      </c>
      <c r="L2074" t="s">
        <v>18</v>
      </c>
      <c r="M2074" t="str">
        <f>"20150727"</f>
        <v>20150727</v>
      </c>
    </row>
    <row r="2075" spans="1:13" x14ac:dyDescent="0.25">
      <c r="A2075" t="str">
        <f>"00199399"</f>
        <v>00199399</v>
      </c>
      <c r="B2075" t="s">
        <v>1238</v>
      </c>
      <c r="C2075" t="s">
        <v>59</v>
      </c>
      <c r="D2075" t="s">
        <v>80</v>
      </c>
      <c r="E2075" t="s">
        <v>16</v>
      </c>
      <c r="F2075" t="s">
        <v>17</v>
      </c>
      <c r="G2075" t="str">
        <f>"03"</f>
        <v>03</v>
      </c>
      <c r="H2075" t="str">
        <f>"3  "</f>
        <v xml:space="preserve">3  </v>
      </c>
      <c r="I2075" t="str">
        <f>"2015/08/12"</f>
        <v>2015/08/12</v>
      </c>
      <c r="J2075" t="str">
        <f>"110"</f>
        <v>110</v>
      </c>
      <c r="K2075" t="str">
        <f>"20250614"</f>
        <v>20250614</v>
      </c>
      <c r="L2075" t="s">
        <v>18</v>
      </c>
      <c r="M2075" t="str">
        <f>"20150624"</f>
        <v>20150624</v>
      </c>
    </row>
    <row r="2076" spans="1:13" x14ac:dyDescent="0.25">
      <c r="A2076" t="str">
        <f>"00202296"</f>
        <v>00202296</v>
      </c>
      <c r="B2076" t="s">
        <v>1239</v>
      </c>
      <c r="C2076" t="s">
        <v>446</v>
      </c>
      <c r="D2076" t="s">
        <v>51</v>
      </c>
      <c r="E2076" t="s">
        <v>26</v>
      </c>
      <c r="F2076" t="s">
        <v>17</v>
      </c>
      <c r="G2076" t="str">
        <f>"03"</f>
        <v>03</v>
      </c>
      <c r="H2076" t="str">
        <f>"3  "</f>
        <v xml:space="preserve">3  </v>
      </c>
      <c r="I2076" t="str">
        <f>"2015/06/24"</f>
        <v>2015/06/24</v>
      </c>
      <c r="J2076" t="str">
        <f>"110"</f>
        <v>110</v>
      </c>
      <c r="K2076" t="str">
        <f>"20210917"</f>
        <v>20210917</v>
      </c>
      <c r="L2076" t="s">
        <v>18</v>
      </c>
      <c r="M2076" t="str">
        <f>"20150220"</f>
        <v>20150220</v>
      </c>
    </row>
    <row r="2077" spans="1:13" x14ac:dyDescent="0.25">
      <c r="A2077" t="str">
        <f>"00336428"</f>
        <v>00336428</v>
      </c>
      <c r="B2077" t="s">
        <v>1242</v>
      </c>
      <c r="C2077" t="s">
        <v>246</v>
      </c>
      <c r="D2077" t="s">
        <v>61</v>
      </c>
      <c r="E2077" t="s">
        <v>16</v>
      </c>
      <c r="F2077" t="s">
        <v>17</v>
      </c>
      <c r="G2077" t="str">
        <f>"03"</f>
        <v>03</v>
      </c>
      <c r="H2077" t="str">
        <f>"1  "</f>
        <v xml:space="preserve">1  </v>
      </c>
      <c r="I2077" t="str">
        <f>"2020/08/15"</f>
        <v>2020/08/15</v>
      </c>
      <c r="J2077" t="str">
        <f>"512"</f>
        <v>512</v>
      </c>
      <c r="K2077" t="str">
        <f>"20201027"</f>
        <v>20201027</v>
      </c>
      <c r="L2077" t="s">
        <v>18</v>
      </c>
      <c r="M2077" t="str">
        <f>"20200805"</f>
        <v>20200805</v>
      </c>
    </row>
    <row r="2078" spans="1:13" x14ac:dyDescent="0.25">
      <c r="A2078" t="str">
        <f>"00290121"</f>
        <v>00290121</v>
      </c>
      <c r="B2078" t="s">
        <v>1243</v>
      </c>
      <c r="C2078" t="s">
        <v>96</v>
      </c>
      <c r="D2078" t="s">
        <v>142</v>
      </c>
      <c r="E2078" t="s">
        <v>26</v>
      </c>
      <c r="F2078" t="s">
        <v>17</v>
      </c>
      <c r="G2078" t="str">
        <f>"03"</f>
        <v>03</v>
      </c>
      <c r="H2078" t="str">
        <f>"1  "</f>
        <v xml:space="preserve">1  </v>
      </c>
      <c r="I2078" t="str">
        <f>"2020/08/26"</f>
        <v>2020/08/26</v>
      </c>
      <c r="J2078" t="str">
        <f>"502"</f>
        <v>502</v>
      </c>
      <c r="K2078" t="str">
        <f>"20201119"</f>
        <v>20201119</v>
      </c>
      <c r="L2078" t="s">
        <v>18</v>
      </c>
      <c r="M2078" t="str">
        <f>"20191220"</f>
        <v>20191220</v>
      </c>
    </row>
    <row r="2079" spans="1:13" x14ac:dyDescent="0.25">
      <c r="A2079" t="str">
        <f>"00618418"</f>
        <v>00618418</v>
      </c>
      <c r="B2079" t="s">
        <v>1248</v>
      </c>
      <c r="C2079" t="s">
        <v>136</v>
      </c>
      <c r="D2079" t="s">
        <v>26</v>
      </c>
      <c r="E2079" t="s">
        <v>16</v>
      </c>
      <c r="F2079" t="s">
        <v>17</v>
      </c>
      <c r="G2079" t="str">
        <f>"03"</f>
        <v>03</v>
      </c>
      <c r="H2079" t="str">
        <f>"3  "</f>
        <v xml:space="preserve">3  </v>
      </c>
      <c r="I2079" t="str">
        <f>"2020/08/26"</f>
        <v>2020/08/26</v>
      </c>
      <c r="J2079" t="str">
        <f>"502"</f>
        <v>502</v>
      </c>
      <c r="K2079" t="str">
        <f>"20211229"</f>
        <v>20211229</v>
      </c>
      <c r="L2079" t="s">
        <v>18</v>
      </c>
      <c r="M2079" t="str">
        <f>"20080516"</f>
        <v>20080516</v>
      </c>
    </row>
    <row r="2080" spans="1:13" x14ac:dyDescent="0.25">
      <c r="A2080" t="str">
        <f>"00799191"</f>
        <v>00799191</v>
      </c>
      <c r="B2080" t="s">
        <v>1265</v>
      </c>
      <c r="C2080" t="s">
        <v>331</v>
      </c>
      <c r="D2080" t="s">
        <v>45</v>
      </c>
      <c r="E2080" t="s">
        <v>26</v>
      </c>
      <c r="F2080" t="s">
        <v>17</v>
      </c>
      <c r="G2080" t="str">
        <f>"03"</f>
        <v>03</v>
      </c>
      <c r="H2080" t="str">
        <f>"3  "</f>
        <v xml:space="preserve">3  </v>
      </c>
      <c r="I2080" t="str">
        <f>"2016/08/16"</f>
        <v>2016/08/16</v>
      </c>
      <c r="J2080" t="str">
        <f>"110"</f>
        <v>110</v>
      </c>
      <c r="K2080" t="str">
        <f>"20400526"</f>
        <v>20400526</v>
      </c>
      <c r="L2080" t="s">
        <v>18</v>
      </c>
      <c r="M2080" t="str">
        <f>"20150803"</f>
        <v>20150803</v>
      </c>
    </row>
    <row r="2081" spans="1:13" x14ac:dyDescent="0.25">
      <c r="A2081" t="str">
        <f>"00374524"</f>
        <v>00374524</v>
      </c>
      <c r="B2081" t="s">
        <v>1265</v>
      </c>
      <c r="C2081" t="s">
        <v>74</v>
      </c>
      <c r="D2081" t="s">
        <v>61</v>
      </c>
      <c r="E2081" t="s">
        <v>16</v>
      </c>
      <c r="F2081" t="s">
        <v>17</v>
      </c>
      <c r="G2081" t="str">
        <f>"03"</f>
        <v>03</v>
      </c>
      <c r="H2081" t="str">
        <f>"0  "</f>
        <v xml:space="preserve">0  </v>
      </c>
      <c r="I2081" t="str">
        <f>"2020/08/25"</f>
        <v>2020/08/25</v>
      </c>
      <c r="J2081" t="str">
        <f>"512"</f>
        <v>512</v>
      </c>
      <c r="K2081" t="s">
        <v>18</v>
      </c>
      <c r="L2081" t="s">
        <v>18</v>
      </c>
      <c r="M2081" t="s">
        <v>18</v>
      </c>
    </row>
    <row r="2082" spans="1:13" x14ac:dyDescent="0.25">
      <c r="A2082" t="str">
        <f>"00656273"</f>
        <v>00656273</v>
      </c>
      <c r="B2082" t="s">
        <v>1268</v>
      </c>
      <c r="C2082" t="s">
        <v>1270</v>
      </c>
      <c r="D2082" t="s">
        <v>25</v>
      </c>
      <c r="E2082" t="s">
        <v>26</v>
      </c>
      <c r="F2082" t="s">
        <v>17</v>
      </c>
      <c r="G2082" t="str">
        <f>"03"</f>
        <v>03</v>
      </c>
      <c r="H2082" t="str">
        <f>"0  "</f>
        <v xml:space="preserve">0  </v>
      </c>
      <c r="I2082" t="str">
        <f>"2020/09/21"</f>
        <v>2020/09/21</v>
      </c>
      <c r="J2082" t="str">
        <f>"410"</f>
        <v>410</v>
      </c>
      <c r="K2082" t="s">
        <v>18</v>
      </c>
      <c r="L2082" t="s">
        <v>18</v>
      </c>
      <c r="M2082" t="s">
        <v>18</v>
      </c>
    </row>
    <row r="2083" spans="1:13" x14ac:dyDescent="0.25">
      <c r="A2083" t="str">
        <f>"00898232"</f>
        <v>00898232</v>
      </c>
      <c r="B2083" t="s">
        <v>1274</v>
      </c>
      <c r="C2083" t="s">
        <v>599</v>
      </c>
      <c r="D2083" t="s">
        <v>15</v>
      </c>
      <c r="E2083" t="s">
        <v>26</v>
      </c>
      <c r="F2083" t="s">
        <v>17</v>
      </c>
      <c r="G2083" t="str">
        <f>"03"</f>
        <v>03</v>
      </c>
      <c r="H2083" t="str">
        <f>"3  "</f>
        <v xml:space="preserve">3  </v>
      </c>
      <c r="I2083" t="str">
        <f>"2019/07/22"</f>
        <v>2019/07/22</v>
      </c>
      <c r="J2083" t="str">
        <f>"110"</f>
        <v>110</v>
      </c>
      <c r="K2083" t="str">
        <f>"20291026"</f>
        <v>20291026</v>
      </c>
      <c r="L2083" t="s">
        <v>18</v>
      </c>
      <c r="M2083" t="str">
        <f>"20190117"</f>
        <v>20190117</v>
      </c>
    </row>
    <row r="2084" spans="1:13" x14ac:dyDescent="0.25">
      <c r="A2084" t="str">
        <f>"00173822"</f>
        <v>00173822</v>
      </c>
      <c r="B2084" t="s">
        <v>1292</v>
      </c>
      <c r="C2084" t="s">
        <v>169</v>
      </c>
      <c r="D2084" t="s">
        <v>45</v>
      </c>
      <c r="E2084" t="s">
        <v>16</v>
      </c>
      <c r="F2084" t="s">
        <v>17</v>
      </c>
      <c r="G2084" t="str">
        <f>"03"</f>
        <v>03</v>
      </c>
      <c r="H2084" t="str">
        <f>"0  "</f>
        <v xml:space="preserve">0  </v>
      </c>
      <c r="I2084" t="str">
        <f>"2020/05/24"</f>
        <v>2020/05/24</v>
      </c>
      <c r="J2084" t="str">
        <f>"410"</f>
        <v>410</v>
      </c>
      <c r="K2084" t="s">
        <v>18</v>
      </c>
      <c r="L2084" t="s">
        <v>18</v>
      </c>
      <c r="M2084" t="s">
        <v>18</v>
      </c>
    </row>
    <row r="2085" spans="1:13" x14ac:dyDescent="0.25">
      <c r="A2085" t="str">
        <f>"00263147"</f>
        <v>00263147</v>
      </c>
      <c r="B2085" t="s">
        <v>1298</v>
      </c>
      <c r="C2085" t="s">
        <v>70</v>
      </c>
      <c r="D2085" t="s">
        <v>47</v>
      </c>
      <c r="E2085" t="s">
        <v>26</v>
      </c>
      <c r="F2085" t="s">
        <v>17</v>
      </c>
      <c r="G2085" t="str">
        <f>"03"</f>
        <v>03</v>
      </c>
      <c r="H2085" t="str">
        <f>"3  "</f>
        <v xml:space="preserve">3  </v>
      </c>
      <c r="I2085" t="str">
        <f>"2019/11/13"</f>
        <v>2019/11/13</v>
      </c>
      <c r="J2085" t="str">
        <f>"120"</f>
        <v>120</v>
      </c>
      <c r="K2085" t="str">
        <f>"20290624"</f>
        <v>20290624</v>
      </c>
      <c r="L2085" t="s">
        <v>18</v>
      </c>
      <c r="M2085" t="str">
        <f>"20190725"</f>
        <v>20190725</v>
      </c>
    </row>
    <row r="2086" spans="1:13" x14ac:dyDescent="0.25">
      <c r="A2086" t="str">
        <f>"00671286"</f>
        <v>00671286</v>
      </c>
      <c r="B2086" t="s">
        <v>1298</v>
      </c>
      <c r="C2086" t="s">
        <v>169</v>
      </c>
      <c r="D2086" t="s">
        <v>107</v>
      </c>
      <c r="E2086" t="s">
        <v>26</v>
      </c>
      <c r="F2086" t="s">
        <v>17</v>
      </c>
      <c r="G2086" t="str">
        <f>"03"</f>
        <v>03</v>
      </c>
      <c r="H2086" t="str">
        <f>"0  "</f>
        <v xml:space="preserve">0  </v>
      </c>
      <c r="I2086" t="str">
        <f>"2020/05/03"</f>
        <v>2020/05/03</v>
      </c>
      <c r="J2086" t="str">
        <f>"420"</f>
        <v>420</v>
      </c>
      <c r="K2086" t="s">
        <v>18</v>
      </c>
      <c r="L2086" t="s">
        <v>18</v>
      </c>
      <c r="M2086" t="s">
        <v>18</v>
      </c>
    </row>
    <row r="2087" spans="1:13" x14ac:dyDescent="0.25">
      <c r="A2087" t="str">
        <f>"00604444"</f>
        <v>00604444</v>
      </c>
      <c r="B2087" t="s">
        <v>1298</v>
      </c>
      <c r="C2087" t="s">
        <v>1299</v>
      </c>
      <c r="D2087" t="s">
        <v>53</v>
      </c>
      <c r="E2087" t="s">
        <v>26</v>
      </c>
      <c r="F2087" t="s">
        <v>17</v>
      </c>
      <c r="G2087" t="str">
        <f>"03"</f>
        <v>03</v>
      </c>
      <c r="H2087" t="str">
        <f>"0  "</f>
        <v xml:space="preserve">0  </v>
      </c>
      <c r="I2087" t="str">
        <f>"2020/05/15"</f>
        <v>2020/05/15</v>
      </c>
      <c r="J2087" t="str">
        <f>"410"</f>
        <v>410</v>
      </c>
      <c r="K2087" t="s">
        <v>18</v>
      </c>
      <c r="L2087" t="s">
        <v>18</v>
      </c>
      <c r="M2087" t="s">
        <v>18</v>
      </c>
    </row>
    <row r="2088" spans="1:13" x14ac:dyDescent="0.25">
      <c r="A2088" t="str">
        <f>"00927460"</f>
        <v>00927460</v>
      </c>
      <c r="B2088" t="s">
        <v>1304</v>
      </c>
      <c r="C2088" t="s">
        <v>442</v>
      </c>
      <c r="D2088" t="s">
        <v>21</v>
      </c>
      <c r="E2088" t="s">
        <v>16</v>
      </c>
      <c r="F2088" t="s">
        <v>17</v>
      </c>
      <c r="G2088" t="str">
        <f>"03"</f>
        <v>03</v>
      </c>
      <c r="H2088" t="str">
        <f>"0  "</f>
        <v xml:space="preserve">0  </v>
      </c>
      <c r="I2088" t="str">
        <f>"2020/03/03"</f>
        <v>2020/03/03</v>
      </c>
      <c r="J2088" t="str">
        <f>"410"</f>
        <v>410</v>
      </c>
      <c r="K2088" t="s">
        <v>18</v>
      </c>
      <c r="L2088" t="s">
        <v>18</v>
      </c>
      <c r="M2088" t="s">
        <v>18</v>
      </c>
    </row>
    <row r="2089" spans="1:13" x14ac:dyDescent="0.25">
      <c r="A2089" t="str">
        <f>"00514753"</f>
        <v>00514753</v>
      </c>
      <c r="B2089" t="s">
        <v>1310</v>
      </c>
      <c r="C2089" t="s">
        <v>1311</v>
      </c>
      <c r="D2089" t="s">
        <v>25</v>
      </c>
      <c r="E2089" t="s">
        <v>16</v>
      </c>
      <c r="F2089" t="s">
        <v>17</v>
      </c>
      <c r="G2089" t="str">
        <f>"03"</f>
        <v>03</v>
      </c>
      <c r="H2089" t="str">
        <f>"3  "</f>
        <v xml:space="preserve">3  </v>
      </c>
      <c r="I2089" t="str">
        <f>"2015/09/03"</f>
        <v>2015/09/03</v>
      </c>
      <c r="J2089" t="str">
        <f>"110"</f>
        <v>110</v>
      </c>
      <c r="K2089" t="str">
        <f>"20481026"</f>
        <v>20481026</v>
      </c>
      <c r="L2089" t="s">
        <v>18</v>
      </c>
      <c r="M2089" t="str">
        <f>"20150118"</f>
        <v>20150118</v>
      </c>
    </row>
    <row r="2090" spans="1:13" x14ac:dyDescent="0.25">
      <c r="A2090" t="str">
        <f>"00071033"</f>
        <v>00071033</v>
      </c>
      <c r="B2090" t="s">
        <v>1313</v>
      </c>
      <c r="C2090" t="s">
        <v>118</v>
      </c>
      <c r="D2090" t="s">
        <v>45</v>
      </c>
      <c r="E2090" t="s">
        <v>26</v>
      </c>
      <c r="F2090" t="s">
        <v>17</v>
      </c>
      <c r="G2090" t="str">
        <f>"03"</f>
        <v>03</v>
      </c>
      <c r="H2090" t="str">
        <f>"7  "</f>
        <v xml:space="preserve">7  </v>
      </c>
      <c r="I2090" t="str">
        <f>"2018/04/19"</f>
        <v>2018/04/19</v>
      </c>
      <c r="J2090" t="str">
        <f>"120"</f>
        <v>120</v>
      </c>
      <c r="K2090" t="s">
        <v>18</v>
      </c>
      <c r="L2090" t="s">
        <v>18</v>
      </c>
      <c r="M2090" t="str">
        <f>"20170908"</f>
        <v>20170908</v>
      </c>
    </row>
    <row r="2091" spans="1:13" x14ac:dyDescent="0.25">
      <c r="A2091" t="str">
        <f>"00401056"</f>
        <v>00401056</v>
      </c>
      <c r="B2091" t="s">
        <v>1320</v>
      </c>
      <c r="C2091" t="s">
        <v>1321</v>
      </c>
      <c r="D2091" t="s">
        <v>16</v>
      </c>
      <c r="E2091" t="s">
        <v>16</v>
      </c>
      <c r="F2091" t="s">
        <v>17</v>
      </c>
      <c r="G2091" t="str">
        <f>"03"</f>
        <v>03</v>
      </c>
      <c r="H2091" t="str">
        <f>"1  "</f>
        <v xml:space="preserve">1  </v>
      </c>
      <c r="I2091" t="str">
        <f>"2020/09/04"</f>
        <v>2020/09/04</v>
      </c>
      <c r="J2091" t="str">
        <f>"512"</f>
        <v>512</v>
      </c>
      <c r="K2091" t="str">
        <f>"20200930"</f>
        <v>20200930</v>
      </c>
      <c r="L2091" t="s">
        <v>18</v>
      </c>
      <c r="M2091" t="str">
        <f>"20200903"</f>
        <v>20200903</v>
      </c>
    </row>
    <row r="2092" spans="1:13" x14ac:dyDescent="0.25">
      <c r="A2092" t="str">
        <f>"00925202"</f>
        <v>00925202</v>
      </c>
      <c r="B2092" t="s">
        <v>1323</v>
      </c>
      <c r="C2092" t="s">
        <v>1269</v>
      </c>
      <c r="D2092" t="s">
        <v>25</v>
      </c>
      <c r="E2092" t="s">
        <v>16</v>
      </c>
      <c r="F2092" t="s">
        <v>17</v>
      </c>
      <c r="G2092" t="str">
        <f>"03"</f>
        <v>03</v>
      </c>
      <c r="H2092" t="str">
        <f>"0  "</f>
        <v xml:space="preserve">0  </v>
      </c>
      <c r="I2092" t="str">
        <f>"2020/09/10"</f>
        <v>2020/09/10</v>
      </c>
      <c r="J2092" t="str">
        <f>"420"</f>
        <v>420</v>
      </c>
      <c r="K2092" t="s">
        <v>18</v>
      </c>
      <c r="L2092" t="s">
        <v>18</v>
      </c>
      <c r="M2092" t="s">
        <v>18</v>
      </c>
    </row>
    <row r="2093" spans="1:13" x14ac:dyDescent="0.25">
      <c r="A2093" t="str">
        <f>"00892648"</f>
        <v>00892648</v>
      </c>
      <c r="B2093" t="s">
        <v>1336</v>
      </c>
      <c r="C2093" t="s">
        <v>1337</v>
      </c>
      <c r="D2093" t="s">
        <v>97</v>
      </c>
      <c r="E2093" t="s">
        <v>26</v>
      </c>
      <c r="F2093" t="s">
        <v>17</v>
      </c>
      <c r="G2093" t="str">
        <f>"03"</f>
        <v>03</v>
      </c>
      <c r="H2093" t="str">
        <f>"3  "</f>
        <v xml:space="preserve">3  </v>
      </c>
      <c r="I2093" t="str">
        <f>"2020/06/23"</f>
        <v>2020/06/23</v>
      </c>
      <c r="J2093" t="str">
        <f>"110"</f>
        <v>110</v>
      </c>
      <c r="K2093" t="str">
        <f>"20220420"</f>
        <v>20220420</v>
      </c>
      <c r="L2093" t="s">
        <v>18</v>
      </c>
      <c r="M2093" t="str">
        <f>"20200623"</f>
        <v>20200623</v>
      </c>
    </row>
    <row r="2094" spans="1:13" x14ac:dyDescent="0.25">
      <c r="A2094" t="str">
        <f>"00652060"</f>
        <v>00652060</v>
      </c>
      <c r="B2094" t="s">
        <v>1342</v>
      </c>
      <c r="C2094" t="s">
        <v>398</v>
      </c>
      <c r="D2094" t="s">
        <v>61</v>
      </c>
      <c r="E2094" t="s">
        <v>16</v>
      </c>
      <c r="F2094" t="s">
        <v>17</v>
      </c>
      <c r="G2094" t="str">
        <f>"03"</f>
        <v>03</v>
      </c>
      <c r="H2094" t="str">
        <f>"3  "</f>
        <v xml:space="preserve">3  </v>
      </c>
      <c r="I2094" t="str">
        <f>"2016/10/26"</f>
        <v>2016/10/26</v>
      </c>
      <c r="J2094" t="str">
        <f>"110"</f>
        <v>110</v>
      </c>
      <c r="K2094" t="str">
        <f>"20500228"</f>
        <v>20500228</v>
      </c>
      <c r="L2094" t="s">
        <v>18</v>
      </c>
      <c r="M2094" t="str">
        <f>"20140829"</f>
        <v>20140829</v>
      </c>
    </row>
    <row r="2095" spans="1:13" x14ac:dyDescent="0.25">
      <c r="A2095" t="str">
        <f>"00203624"</f>
        <v>00203624</v>
      </c>
      <c r="B2095" t="s">
        <v>1354</v>
      </c>
      <c r="C2095" t="s">
        <v>22</v>
      </c>
      <c r="D2095" t="s">
        <v>31</v>
      </c>
      <c r="E2095" t="s">
        <v>16</v>
      </c>
      <c r="F2095" t="s">
        <v>17</v>
      </c>
      <c r="G2095" t="str">
        <f>"03"</f>
        <v>03</v>
      </c>
      <c r="H2095" t="str">
        <f>"3  "</f>
        <v xml:space="preserve">3  </v>
      </c>
      <c r="I2095" t="str">
        <f>"2019/11/15"</f>
        <v>2019/11/15</v>
      </c>
      <c r="J2095" t="str">
        <f>"110"</f>
        <v>110</v>
      </c>
      <c r="K2095" t="str">
        <f>"20290503"</f>
        <v>20290503</v>
      </c>
      <c r="L2095" t="s">
        <v>18</v>
      </c>
      <c r="M2095" t="str">
        <f>"20190530"</f>
        <v>20190530</v>
      </c>
    </row>
    <row r="2096" spans="1:13" x14ac:dyDescent="0.25">
      <c r="A2096" t="str">
        <f>"00331905"</f>
        <v>00331905</v>
      </c>
      <c r="B2096" t="s">
        <v>1366</v>
      </c>
      <c r="C2096" t="s">
        <v>563</v>
      </c>
      <c r="D2096" t="s">
        <v>61</v>
      </c>
      <c r="E2096" t="s">
        <v>26</v>
      </c>
      <c r="F2096" t="s">
        <v>17</v>
      </c>
      <c r="G2096" t="str">
        <f>"03"</f>
        <v>03</v>
      </c>
      <c r="H2096" t="str">
        <f>"3  "</f>
        <v xml:space="preserve">3  </v>
      </c>
      <c r="I2096" t="str">
        <f>"2019/08/07"</f>
        <v>2019/08/07</v>
      </c>
      <c r="J2096" t="str">
        <f>"110"</f>
        <v>110</v>
      </c>
      <c r="K2096" t="str">
        <f>"20201112"</f>
        <v>20201112</v>
      </c>
      <c r="L2096" t="s">
        <v>18</v>
      </c>
      <c r="M2096" t="str">
        <f>"20190805"</f>
        <v>20190805</v>
      </c>
    </row>
    <row r="2097" spans="1:13" x14ac:dyDescent="0.25">
      <c r="A2097" t="str">
        <f>"00176574"</f>
        <v>00176574</v>
      </c>
      <c r="B2097" t="s">
        <v>1385</v>
      </c>
      <c r="C2097" t="s">
        <v>1387</v>
      </c>
      <c r="D2097" t="s">
        <v>45</v>
      </c>
      <c r="E2097" t="s">
        <v>26</v>
      </c>
      <c r="F2097" t="s">
        <v>17</v>
      </c>
      <c r="G2097" t="str">
        <f>"03"</f>
        <v>03</v>
      </c>
      <c r="H2097" t="str">
        <f>"1  "</f>
        <v xml:space="preserve">1  </v>
      </c>
      <c r="I2097" t="str">
        <f>"2020/09/25"</f>
        <v>2020/09/25</v>
      </c>
      <c r="J2097" t="str">
        <f>"110"</f>
        <v>110</v>
      </c>
      <c r="K2097" t="str">
        <f>"20210312"</f>
        <v>20210312</v>
      </c>
      <c r="L2097" t="s">
        <v>18</v>
      </c>
      <c r="M2097" t="str">
        <f>"20200925"</f>
        <v>20200925</v>
      </c>
    </row>
    <row r="2098" spans="1:13" x14ac:dyDescent="0.25">
      <c r="A2098" t="str">
        <f>"00291123"</f>
        <v>00291123</v>
      </c>
      <c r="B2098" t="s">
        <v>1385</v>
      </c>
      <c r="C2098" t="s">
        <v>176</v>
      </c>
      <c r="D2098" t="s">
        <v>45</v>
      </c>
      <c r="E2098" t="s">
        <v>16</v>
      </c>
      <c r="F2098" t="s">
        <v>17</v>
      </c>
      <c r="G2098" t="str">
        <f>"03"</f>
        <v>03</v>
      </c>
      <c r="H2098" t="str">
        <f>"0  "</f>
        <v xml:space="preserve">0  </v>
      </c>
      <c r="I2098" t="str">
        <f>"2020/08/22"</f>
        <v>2020/08/22</v>
      </c>
      <c r="J2098" t="str">
        <f>"420"</f>
        <v>420</v>
      </c>
      <c r="K2098" t="s">
        <v>18</v>
      </c>
      <c r="L2098" t="s">
        <v>18</v>
      </c>
      <c r="M2098" t="s">
        <v>18</v>
      </c>
    </row>
    <row r="2099" spans="1:13" x14ac:dyDescent="0.25">
      <c r="A2099" t="str">
        <f>"00872215"</f>
        <v>00872215</v>
      </c>
      <c r="B2099" t="s">
        <v>1385</v>
      </c>
      <c r="C2099" t="s">
        <v>1389</v>
      </c>
      <c r="D2099" t="s">
        <v>51</v>
      </c>
      <c r="E2099" t="s">
        <v>26</v>
      </c>
      <c r="F2099" t="s">
        <v>17</v>
      </c>
      <c r="G2099" t="str">
        <f>"03"</f>
        <v>03</v>
      </c>
      <c r="H2099" t="str">
        <f>"3  "</f>
        <v xml:space="preserve">3  </v>
      </c>
      <c r="I2099" t="str">
        <f>"2018/08/17"</f>
        <v>2018/08/17</v>
      </c>
      <c r="J2099" t="str">
        <f>"110"</f>
        <v>110</v>
      </c>
      <c r="K2099" t="str">
        <f>"20210701"</f>
        <v>20210701</v>
      </c>
      <c r="L2099" t="s">
        <v>18</v>
      </c>
      <c r="M2099" t="str">
        <f>"20180118"</f>
        <v>20180118</v>
      </c>
    </row>
    <row r="2100" spans="1:13" x14ac:dyDescent="0.25">
      <c r="A2100" t="str">
        <f>"00883463"</f>
        <v>00883463</v>
      </c>
      <c r="B2100" t="s">
        <v>1385</v>
      </c>
      <c r="C2100" t="s">
        <v>62</v>
      </c>
      <c r="D2100" t="s">
        <v>25</v>
      </c>
      <c r="E2100" t="s">
        <v>26</v>
      </c>
      <c r="F2100" t="s">
        <v>17</v>
      </c>
      <c r="G2100" t="str">
        <f>"03"</f>
        <v>03</v>
      </c>
      <c r="H2100" t="str">
        <f>"3  "</f>
        <v xml:space="preserve">3  </v>
      </c>
      <c r="I2100" t="str">
        <f>"2019/04/24"</f>
        <v>2019/04/24</v>
      </c>
      <c r="J2100" t="str">
        <f>"110"</f>
        <v>110</v>
      </c>
      <c r="K2100" t="str">
        <f>"20210124"</f>
        <v>20210124</v>
      </c>
      <c r="L2100" t="s">
        <v>18</v>
      </c>
      <c r="M2100" t="str">
        <f>"20181021"</f>
        <v>20181021</v>
      </c>
    </row>
    <row r="2101" spans="1:13" x14ac:dyDescent="0.25">
      <c r="A2101" t="str">
        <f>"00556777"</f>
        <v>00556777</v>
      </c>
      <c r="B2101" t="s">
        <v>1393</v>
      </c>
      <c r="C2101" t="s">
        <v>156</v>
      </c>
      <c r="D2101" t="s">
        <v>31</v>
      </c>
      <c r="E2101" t="s">
        <v>26</v>
      </c>
      <c r="F2101" t="s">
        <v>17</v>
      </c>
      <c r="G2101" t="str">
        <f>"03"</f>
        <v>03</v>
      </c>
      <c r="H2101" t="str">
        <f>"3  "</f>
        <v xml:space="preserve">3  </v>
      </c>
      <c r="I2101" t="str">
        <f>"2015/11/18"</f>
        <v>2015/11/18</v>
      </c>
      <c r="J2101" t="str">
        <f>"110"</f>
        <v>110</v>
      </c>
      <c r="K2101" t="str">
        <f>"20260930"</f>
        <v>20260930</v>
      </c>
      <c r="L2101" t="s">
        <v>18</v>
      </c>
      <c r="M2101" t="str">
        <f>"20150710"</f>
        <v>20150710</v>
      </c>
    </row>
    <row r="2102" spans="1:13" x14ac:dyDescent="0.25">
      <c r="A2102" t="str">
        <f>"00494044"</f>
        <v>00494044</v>
      </c>
      <c r="B2102" t="s">
        <v>1393</v>
      </c>
      <c r="C2102" t="s">
        <v>120</v>
      </c>
      <c r="D2102" t="s">
        <v>73</v>
      </c>
      <c r="E2102" t="s">
        <v>16</v>
      </c>
      <c r="F2102" t="s">
        <v>17</v>
      </c>
      <c r="G2102" t="str">
        <f>"03"</f>
        <v>03</v>
      </c>
      <c r="H2102" t="str">
        <f>"3  "</f>
        <v xml:space="preserve">3  </v>
      </c>
      <c r="I2102" t="str">
        <f>"2014/06/19"</f>
        <v>2014/06/19</v>
      </c>
      <c r="J2102" t="str">
        <f>"110"</f>
        <v>110</v>
      </c>
      <c r="K2102" t="str">
        <f>"20311222"</f>
        <v>20311222</v>
      </c>
      <c r="L2102" t="s">
        <v>18</v>
      </c>
      <c r="M2102" t="str">
        <f>"20140605"</f>
        <v>20140605</v>
      </c>
    </row>
    <row r="2103" spans="1:13" x14ac:dyDescent="0.25">
      <c r="A2103" t="str">
        <f>"00411329"</f>
        <v>00411329</v>
      </c>
      <c r="B2103" t="s">
        <v>1396</v>
      </c>
      <c r="C2103" t="s">
        <v>833</v>
      </c>
      <c r="D2103" t="s">
        <v>182</v>
      </c>
      <c r="E2103" t="s">
        <v>26</v>
      </c>
      <c r="F2103" t="s">
        <v>17</v>
      </c>
      <c r="G2103" t="str">
        <f>"03"</f>
        <v>03</v>
      </c>
      <c r="H2103" t="str">
        <f>"0  "</f>
        <v xml:space="preserve">0  </v>
      </c>
      <c r="I2103" t="str">
        <f>"2020/09/16"</f>
        <v>2020/09/16</v>
      </c>
      <c r="J2103" t="str">
        <f>"410"</f>
        <v>410</v>
      </c>
      <c r="K2103" t="s">
        <v>18</v>
      </c>
      <c r="L2103" t="s">
        <v>18</v>
      </c>
      <c r="M2103" t="s">
        <v>18</v>
      </c>
    </row>
    <row r="2104" spans="1:13" x14ac:dyDescent="0.25">
      <c r="A2104" t="str">
        <f>"00248321"</f>
        <v>00248321</v>
      </c>
      <c r="B2104" t="s">
        <v>1397</v>
      </c>
      <c r="C2104" t="s">
        <v>55</v>
      </c>
      <c r="D2104" t="s">
        <v>91</v>
      </c>
      <c r="E2104" t="s">
        <v>16</v>
      </c>
      <c r="F2104" t="s">
        <v>17</v>
      </c>
      <c r="G2104" t="str">
        <f>"03"</f>
        <v>03</v>
      </c>
      <c r="H2104" t="str">
        <f>"3  "</f>
        <v xml:space="preserve">3  </v>
      </c>
      <c r="I2104" t="str">
        <f>"2019/07/23"</f>
        <v>2019/07/23</v>
      </c>
      <c r="J2104" t="str">
        <f>"120"</f>
        <v>120</v>
      </c>
      <c r="K2104" t="str">
        <f>"20320821"</f>
        <v>20320821</v>
      </c>
      <c r="L2104" t="s">
        <v>18</v>
      </c>
      <c r="M2104" t="str">
        <f>"20190329"</f>
        <v>20190329</v>
      </c>
    </row>
    <row r="2105" spans="1:13" x14ac:dyDescent="0.25">
      <c r="A2105" t="str">
        <f>"00786089"</f>
        <v>00786089</v>
      </c>
      <c r="B2105" t="s">
        <v>1403</v>
      </c>
      <c r="C2105" t="s">
        <v>1404</v>
      </c>
      <c r="D2105" t="s">
        <v>25</v>
      </c>
      <c r="E2105" t="s">
        <v>16</v>
      </c>
      <c r="F2105" t="s">
        <v>17</v>
      </c>
      <c r="G2105" t="str">
        <f>"03"</f>
        <v>03</v>
      </c>
      <c r="H2105" t="str">
        <f>"0  "</f>
        <v xml:space="preserve">0  </v>
      </c>
      <c r="I2105" t="str">
        <f>"2020/09/13"</f>
        <v>2020/09/13</v>
      </c>
      <c r="J2105" t="str">
        <f>"410"</f>
        <v>410</v>
      </c>
      <c r="K2105" t="s">
        <v>18</v>
      </c>
      <c r="L2105" t="s">
        <v>18</v>
      </c>
      <c r="M2105" t="s">
        <v>18</v>
      </c>
    </row>
    <row r="2106" spans="1:13" x14ac:dyDescent="0.25">
      <c r="A2106" t="str">
        <f>"00226026"</f>
        <v>00226026</v>
      </c>
      <c r="B2106" t="s">
        <v>1407</v>
      </c>
      <c r="C2106" t="s">
        <v>55</v>
      </c>
      <c r="D2106" t="s">
        <v>25</v>
      </c>
      <c r="E2106" t="s">
        <v>16</v>
      </c>
      <c r="F2106" t="s">
        <v>17</v>
      </c>
      <c r="G2106" t="str">
        <f>"03"</f>
        <v>03</v>
      </c>
      <c r="H2106" t="str">
        <f>"0  "</f>
        <v xml:space="preserve">0  </v>
      </c>
      <c r="I2106" t="str">
        <f>"2020/08/22"</f>
        <v>2020/08/22</v>
      </c>
      <c r="J2106" t="str">
        <f>"420"</f>
        <v>420</v>
      </c>
      <c r="K2106" t="s">
        <v>18</v>
      </c>
      <c r="L2106" t="s">
        <v>18</v>
      </c>
      <c r="M2106" t="s">
        <v>18</v>
      </c>
    </row>
    <row r="2107" spans="1:13" x14ac:dyDescent="0.25">
      <c r="A2107" t="str">
        <f>"00403359"</f>
        <v>00403359</v>
      </c>
      <c r="B2107" t="s">
        <v>1418</v>
      </c>
      <c r="C2107" t="s">
        <v>176</v>
      </c>
      <c r="D2107" t="s">
        <v>51</v>
      </c>
      <c r="E2107" t="s">
        <v>16</v>
      </c>
      <c r="F2107" t="s">
        <v>17</v>
      </c>
      <c r="G2107" t="str">
        <f>"03"</f>
        <v>03</v>
      </c>
      <c r="H2107" t="str">
        <f>"3  "</f>
        <v xml:space="preserve">3  </v>
      </c>
      <c r="I2107" t="str">
        <f>"2020/02/27"</f>
        <v>2020/02/27</v>
      </c>
      <c r="J2107" t="str">
        <f>"110"</f>
        <v>110</v>
      </c>
      <c r="K2107" t="str">
        <f>"20230930"</f>
        <v>20230930</v>
      </c>
      <c r="L2107" t="s">
        <v>18</v>
      </c>
      <c r="M2107" t="str">
        <f>"20200215"</f>
        <v>20200215</v>
      </c>
    </row>
    <row r="2108" spans="1:13" x14ac:dyDescent="0.25">
      <c r="A2108" t="str">
        <f>"00872880"</f>
        <v>00872880</v>
      </c>
      <c r="B2108" t="s">
        <v>1423</v>
      </c>
      <c r="C2108" t="s">
        <v>211</v>
      </c>
      <c r="D2108" t="s">
        <v>25</v>
      </c>
      <c r="E2108" t="s">
        <v>26</v>
      </c>
      <c r="F2108" t="s">
        <v>17</v>
      </c>
      <c r="G2108" t="str">
        <f>"03"</f>
        <v>03</v>
      </c>
      <c r="H2108" t="str">
        <f>"3  "</f>
        <v xml:space="preserve">3  </v>
      </c>
      <c r="I2108" t="str">
        <f>"2018/08/10"</f>
        <v>2018/08/10</v>
      </c>
      <c r="J2108" t="str">
        <f>"110"</f>
        <v>110</v>
      </c>
      <c r="K2108" t="str">
        <f>"20201225"</f>
        <v>20201225</v>
      </c>
      <c r="L2108" t="s">
        <v>18</v>
      </c>
      <c r="M2108" t="str">
        <f>"20180121"</f>
        <v>20180121</v>
      </c>
    </row>
    <row r="2109" spans="1:13" x14ac:dyDescent="0.25">
      <c r="A2109" t="str">
        <f>"00887125"</f>
        <v>00887125</v>
      </c>
      <c r="B2109" t="s">
        <v>1428</v>
      </c>
      <c r="C2109" t="s">
        <v>68</v>
      </c>
      <c r="D2109" t="s">
        <v>21</v>
      </c>
      <c r="E2109" t="s">
        <v>26</v>
      </c>
      <c r="F2109" t="s">
        <v>17</v>
      </c>
      <c r="G2109" t="str">
        <f>"03"</f>
        <v>03</v>
      </c>
      <c r="H2109" t="str">
        <f>"3  "</f>
        <v xml:space="preserve">3  </v>
      </c>
      <c r="I2109" t="str">
        <f>"2020/08/12"</f>
        <v>2020/08/12</v>
      </c>
      <c r="J2109" t="str">
        <f>"502"</f>
        <v>502</v>
      </c>
      <c r="K2109" t="str">
        <f>"20210222"</f>
        <v>20210222</v>
      </c>
      <c r="L2109" t="s">
        <v>18</v>
      </c>
      <c r="M2109" t="str">
        <f>"20181116"</f>
        <v>20181116</v>
      </c>
    </row>
    <row r="2110" spans="1:13" x14ac:dyDescent="0.25">
      <c r="A2110" t="str">
        <f>"00576376"</f>
        <v>00576376</v>
      </c>
      <c r="B2110" t="s">
        <v>1446</v>
      </c>
      <c r="C2110" t="s">
        <v>96</v>
      </c>
      <c r="D2110" t="s">
        <v>40</v>
      </c>
      <c r="E2110" t="s">
        <v>26</v>
      </c>
      <c r="F2110" t="s">
        <v>17</v>
      </c>
      <c r="G2110" t="str">
        <f>"03"</f>
        <v>03</v>
      </c>
      <c r="H2110" t="str">
        <f>"3  "</f>
        <v xml:space="preserve">3  </v>
      </c>
      <c r="I2110" t="str">
        <f>"2018/12/26"</f>
        <v>2018/12/26</v>
      </c>
      <c r="J2110" t="str">
        <f>"510"</f>
        <v>510</v>
      </c>
      <c r="K2110" t="str">
        <f>"20250419"</f>
        <v>20250419</v>
      </c>
      <c r="L2110" t="s">
        <v>18</v>
      </c>
      <c r="M2110" t="str">
        <f>"20180307"</f>
        <v>20180307</v>
      </c>
    </row>
    <row r="2111" spans="1:13" x14ac:dyDescent="0.25">
      <c r="A2111" t="str">
        <f>"00858792"</f>
        <v>00858792</v>
      </c>
      <c r="B2111" t="s">
        <v>1447</v>
      </c>
      <c r="C2111" t="s">
        <v>1449</v>
      </c>
      <c r="D2111" t="s">
        <v>21</v>
      </c>
      <c r="E2111" t="s">
        <v>26</v>
      </c>
      <c r="F2111" t="s">
        <v>17</v>
      </c>
      <c r="G2111" t="str">
        <f>"03"</f>
        <v>03</v>
      </c>
      <c r="H2111" t="str">
        <f>"0  "</f>
        <v xml:space="preserve">0  </v>
      </c>
      <c r="I2111" t="str">
        <f>"2020/06/02"</f>
        <v>2020/06/02</v>
      </c>
      <c r="J2111" t="str">
        <f>"410"</f>
        <v>410</v>
      </c>
      <c r="K2111" t="s">
        <v>18</v>
      </c>
      <c r="L2111" t="s">
        <v>18</v>
      </c>
      <c r="M2111" t="s">
        <v>18</v>
      </c>
    </row>
    <row r="2112" spans="1:13" x14ac:dyDescent="0.25">
      <c r="A2112" t="str">
        <f>"00204361"</f>
        <v>00204361</v>
      </c>
      <c r="B2112" t="s">
        <v>1447</v>
      </c>
      <c r="C2112" t="s">
        <v>62</v>
      </c>
      <c r="D2112" t="s">
        <v>51</v>
      </c>
      <c r="E2112" t="s">
        <v>26</v>
      </c>
      <c r="F2112" t="s">
        <v>17</v>
      </c>
      <c r="G2112" t="str">
        <f>"03"</f>
        <v>03</v>
      </c>
      <c r="H2112" t="str">
        <f>"3  "</f>
        <v xml:space="preserve">3  </v>
      </c>
      <c r="I2112" t="str">
        <f>"2020/01/08"</f>
        <v>2020/01/08</v>
      </c>
      <c r="J2112" t="str">
        <f>"110"</f>
        <v>110</v>
      </c>
      <c r="K2112" t="str">
        <f>"20210515"</f>
        <v>20210515</v>
      </c>
      <c r="L2112" t="s">
        <v>18</v>
      </c>
      <c r="M2112" t="str">
        <f>"20200107"</f>
        <v>20200107</v>
      </c>
    </row>
    <row r="2113" spans="1:13" x14ac:dyDescent="0.25">
      <c r="A2113" t="str">
        <f>"00797916"</f>
        <v>00797916</v>
      </c>
      <c r="B2113" t="s">
        <v>1451</v>
      </c>
      <c r="C2113" t="s">
        <v>14</v>
      </c>
      <c r="D2113" t="s">
        <v>25</v>
      </c>
      <c r="E2113" t="s">
        <v>26</v>
      </c>
      <c r="F2113" t="s">
        <v>17</v>
      </c>
      <c r="G2113" t="str">
        <f>"03"</f>
        <v>03</v>
      </c>
      <c r="H2113" t="str">
        <f>"1  "</f>
        <v xml:space="preserve">1  </v>
      </c>
      <c r="I2113" t="str">
        <f>"2020/09/16"</f>
        <v>2020/09/16</v>
      </c>
      <c r="J2113" t="str">
        <f>"110"</f>
        <v>110</v>
      </c>
      <c r="K2113" t="str">
        <f>"20210225"</f>
        <v>20210225</v>
      </c>
      <c r="L2113" t="s">
        <v>18</v>
      </c>
      <c r="M2113" t="str">
        <f>"20200916"</f>
        <v>20200916</v>
      </c>
    </row>
    <row r="2114" spans="1:13" x14ac:dyDescent="0.25">
      <c r="A2114" t="str">
        <f>"00758087"</f>
        <v>00758087</v>
      </c>
      <c r="B2114" t="s">
        <v>1457</v>
      </c>
      <c r="C2114" t="s">
        <v>169</v>
      </c>
      <c r="D2114" t="s">
        <v>37</v>
      </c>
      <c r="E2114" t="s">
        <v>16</v>
      </c>
      <c r="F2114" t="s">
        <v>17</v>
      </c>
      <c r="G2114" t="str">
        <f>"03"</f>
        <v>03</v>
      </c>
      <c r="H2114" t="str">
        <f>"3  "</f>
        <v xml:space="preserve">3  </v>
      </c>
      <c r="I2114" t="str">
        <f>"2019/05/07"</f>
        <v>2019/05/07</v>
      </c>
      <c r="J2114" t="str">
        <f>"510"</f>
        <v>510</v>
      </c>
      <c r="K2114" t="str">
        <f>"20231222"</f>
        <v>20231222</v>
      </c>
      <c r="L2114" t="s">
        <v>18</v>
      </c>
      <c r="M2114" t="str">
        <f>"20161123"</f>
        <v>20161123</v>
      </c>
    </row>
    <row r="2115" spans="1:13" x14ac:dyDescent="0.25">
      <c r="A2115" t="str">
        <f>"00470421"</f>
        <v>00470421</v>
      </c>
      <c r="B2115" t="s">
        <v>1459</v>
      </c>
      <c r="C2115" t="s">
        <v>74</v>
      </c>
      <c r="D2115" t="s">
        <v>80</v>
      </c>
      <c r="E2115" t="s">
        <v>16</v>
      </c>
      <c r="F2115" t="s">
        <v>17</v>
      </c>
      <c r="G2115" t="str">
        <f>"03"</f>
        <v>03</v>
      </c>
      <c r="H2115" t="str">
        <f>"0  "</f>
        <v xml:space="preserve">0  </v>
      </c>
      <c r="I2115" t="str">
        <f>"2020/08/28"</f>
        <v>2020/08/28</v>
      </c>
      <c r="J2115" t="str">
        <f>"410"</f>
        <v>410</v>
      </c>
      <c r="K2115" t="s">
        <v>18</v>
      </c>
      <c r="L2115" t="s">
        <v>18</v>
      </c>
      <c r="M2115" t="s">
        <v>18</v>
      </c>
    </row>
    <row r="2116" spans="1:13" x14ac:dyDescent="0.25">
      <c r="A2116" t="str">
        <f>"00909281"</f>
        <v>00909281</v>
      </c>
      <c r="B2116" t="s">
        <v>1463</v>
      </c>
      <c r="C2116" t="s">
        <v>135</v>
      </c>
      <c r="D2116" t="s">
        <v>40</v>
      </c>
      <c r="E2116" t="s">
        <v>16</v>
      </c>
      <c r="F2116" t="s">
        <v>17</v>
      </c>
      <c r="G2116" t="str">
        <f>"03"</f>
        <v>03</v>
      </c>
      <c r="H2116" t="str">
        <f>"3  "</f>
        <v xml:space="preserve">3  </v>
      </c>
      <c r="I2116" t="str">
        <f>"2019/10/25"</f>
        <v>2019/10/25</v>
      </c>
      <c r="J2116" t="str">
        <f>"110"</f>
        <v>110</v>
      </c>
      <c r="K2116" t="str">
        <f>"20420429"</f>
        <v>20420429</v>
      </c>
      <c r="L2116" t="s">
        <v>18</v>
      </c>
      <c r="M2116" t="str">
        <f>"20191017"</f>
        <v>20191017</v>
      </c>
    </row>
    <row r="2117" spans="1:13" x14ac:dyDescent="0.25">
      <c r="A2117" t="str">
        <f>"00897343"</f>
        <v>00897343</v>
      </c>
      <c r="B2117" t="s">
        <v>1465</v>
      </c>
      <c r="C2117" t="s">
        <v>1062</v>
      </c>
      <c r="D2117" t="s">
        <v>25</v>
      </c>
      <c r="E2117" t="s">
        <v>16</v>
      </c>
      <c r="F2117" t="s">
        <v>17</v>
      </c>
      <c r="G2117" t="str">
        <f>"03"</f>
        <v>03</v>
      </c>
      <c r="H2117" t="str">
        <f>"0  "</f>
        <v xml:space="preserve">0  </v>
      </c>
      <c r="I2117" t="str">
        <f>"2020/09/19"</f>
        <v>2020/09/19</v>
      </c>
      <c r="J2117" t="str">
        <f>"420"</f>
        <v>420</v>
      </c>
      <c r="K2117" t="s">
        <v>18</v>
      </c>
      <c r="L2117" t="s">
        <v>18</v>
      </c>
      <c r="M2117" t="s">
        <v>18</v>
      </c>
    </row>
    <row r="2118" spans="1:13" x14ac:dyDescent="0.25">
      <c r="A2118" t="str">
        <f>"00586867"</f>
        <v>00586867</v>
      </c>
      <c r="B2118" t="s">
        <v>1469</v>
      </c>
      <c r="C2118" t="s">
        <v>1471</v>
      </c>
      <c r="D2118" t="s">
        <v>25</v>
      </c>
      <c r="E2118" t="s">
        <v>26</v>
      </c>
      <c r="F2118" t="s">
        <v>17</v>
      </c>
      <c r="G2118" t="str">
        <f>"03"</f>
        <v>03</v>
      </c>
      <c r="H2118" t="str">
        <f>"0  "</f>
        <v xml:space="preserve">0  </v>
      </c>
      <c r="I2118" t="str">
        <f>"2020/08/19"</f>
        <v>2020/08/19</v>
      </c>
      <c r="J2118" t="str">
        <f>"502"</f>
        <v>502</v>
      </c>
      <c r="K2118" t="s">
        <v>18</v>
      </c>
      <c r="L2118" t="s">
        <v>18</v>
      </c>
      <c r="M2118" t="s">
        <v>18</v>
      </c>
    </row>
    <row r="2119" spans="1:13" x14ac:dyDescent="0.25">
      <c r="A2119" t="str">
        <f>"00250099"</f>
        <v>00250099</v>
      </c>
      <c r="B2119" t="s">
        <v>1478</v>
      </c>
      <c r="C2119" t="s">
        <v>14</v>
      </c>
      <c r="D2119" t="s">
        <v>25</v>
      </c>
      <c r="E2119" t="s">
        <v>26</v>
      </c>
      <c r="F2119" t="s">
        <v>17</v>
      </c>
      <c r="G2119" t="str">
        <f>"03"</f>
        <v>03</v>
      </c>
      <c r="H2119" t="str">
        <f>"0  "</f>
        <v xml:space="preserve">0  </v>
      </c>
      <c r="I2119" t="str">
        <f>"2020/08/26"</f>
        <v>2020/08/26</v>
      </c>
      <c r="J2119" t="str">
        <f>"410"</f>
        <v>410</v>
      </c>
      <c r="K2119" t="s">
        <v>18</v>
      </c>
      <c r="L2119" t="s">
        <v>18</v>
      </c>
      <c r="M2119" t="s">
        <v>18</v>
      </c>
    </row>
    <row r="2120" spans="1:13" x14ac:dyDescent="0.25">
      <c r="A2120" t="str">
        <f>"00803657"</f>
        <v>00803657</v>
      </c>
      <c r="B2120" t="s">
        <v>1480</v>
      </c>
      <c r="C2120" t="s">
        <v>1482</v>
      </c>
      <c r="D2120" t="s">
        <v>45</v>
      </c>
      <c r="E2120" t="s">
        <v>26</v>
      </c>
      <c r="F2120" t="s">
        <v>17</v>
      </c>
      <c r="G2120" t="str">
        <f>"03"</f>
        <v>03</v>
      </c>
      <c r="H2120" t="str">
        <f>"3  "</f>
        <v xml:space="preserve">3  </v>
      </c>
      <c r="I2120" t="str">
        <f>"2020/07/05"</f>
        <v>2020/07/05</v>
      </c>
      <c r="J2120" t="str">
        <f>"110"</f>
        <v>110</v>
      </c>
      <c r="K2120" t="str">
        <f>"20220124"</f>
        <v>20220124</v>
      </c>
      <c r="L2120" t="s">
        <v>18</v>
      </c>
      <c r="M2120" t="str">
        <f>"20200619"</f>
        <v>20200619</v>
      </c>
    </row>
    <row r="2121" spans="1:13" x14ac:dyDescent="0.25">
      <c r="A2121" t="str">
        <f>"00611560"</f>
        <v>00611560</v>
      </c>
      <c r="B2121" t="s">
        <v>1497</v>
      </c>
      <c r="C2121" t="s">
        <v>987</v>
      </c>
      <c r="D2121" t="s">
        <v>40</v>
      </c>
      <c r="E2121" t="s">
        <v>26</v>
      </c>
      <c r="F2121" t="s">
        <v>17</v>
      </c>
      <c r="G2121" t="str">
        <f>"03"</f>
        <v>03</v>
      </c>
      <c r="H2121" t="str">
        <f>"0  "</f>
        <v xml:space="preserve">0  </v>
      </c>
      <c r="I2121" t="str">
        <f>"2020/09/11"</f>
        <v>2020/09/11</v>
      </c>
      <c r="J2121" t="str">
        <f>"410"</f>
        <v>410</v>
      </c>
      <c r="K2121" t="s">
        <v>18</v>
      </c>
      <c r="L2121" t="s">
        <v>18</v>
      </c>
      <c r="M2121" t="s">
        <v>18</v>
      </c>
    </row>
    <row r="2122" spans="1:13" x14ac:dyDescent="0.25">
      <c r="A2122" t="str">
        <f>"00524691"</f>
        <v>00524691</v>
      </c>
      <c r="B2122" t="s">
        <v>1499</v>
      </c>
      <c r="C2122" t="s">
        <v>1500</v>
      </c>
      <c r="D2122" t="s">
        <v>40</v>
      </c>
      <c r="E2122" t="s">
        <v>26</v>
      </c>
      <c r="F2122" t="s">
        <v>17</v>
      </c>
      <c r="G2122" t="str">
        <f>"03"</f>
        <v>03</v>
      </c>
      <c r="H2122" t="str">
        <f>"0  "</f>
        <v xml:space="preserve">0  </v>
      </c>
      <c r="I2122" t="str">
        <f>"2020/06/23"</f>
        <v>2020/06/23</v>
      </c>
      <c r="J2122" t="str">
        <f>"410"</f>
        <v>410</v>
      </c>
      <c r="K2122" t="s">
        <v>18</v>
      </c>
      <c r="L2122" t="s">
        <v>18</v>
      </c>
      <c r="M2122" t="s">
        <v>18</v>
      </c>
    </row>
    <row r="2123" spans="1:13" x14ac:dyDescent="0.25">
      <c r="A2123" t="str">
        <f>"00855955"</f>
        <v>00855955</v>
      </c>
      <c r="B2123" t="s">
        <v>1508</v>
      </c>
      <c r="C2123" t="s">
        <v>1510</v>
      </c>
      <c r="D2123" t="s">
        <v>31</v>
      </c>
      <c r="E2123" t="s">
        <v>26</v>
      </c>
      <c r="F2123" t="s">
        <v>17</v>
      </c>
      <c r="G2123" t="str">
        <f>"03"</f>
        <v>03</v>
      </c>
      <c r="H2123" t="str">
        <f>"0  "</f>
        <v xml:space="preserve">0  </v>
      </c>
      <c r="I2123" t="str">
        <f>"2020/09/14"</f>
        <v>2020/09/14</v>
      </c>
      <c r="J2123" t="str">
        <f>"410"</f>
        <v>410</v>
      </c>
      <c r="K2123" t="s">
        <v>18</v>
      </c>
      <c r="L2123" t="s">
        <v>18</v>
      </c>
      <c r="M2123" t="s">
        <v>18</v>
      </c>
    </row>
    <row r="2124" spans="1:13" x14ac:dyDescent="0.25">
      <c r="A2124" t="str">
        <f>"00855521"</f>
        <v>00855521</v>
      </c>
      <c r="B2124" t="s">
        <v>1513</v>
      </c>
      <c r="C2124" t="s">
        <v>1514</v>
      </c>
      <c r="D2124" t="s">
        <v>80</v>
      </c>
      <c r="E2124" t="s">
        <v>26</v>
      </c>
      <c r="F2124" t="s">
        <v>17</v>
      </c>
      <c r="G2124" t="str">
        <f>"03"</f>
        <v>03</v>
      </c>
      <c r="H2124" t="str">
        <f>"0  "</f>
        <v xml:space="preserve">0  </v>
      </c>
      <c r="I2124" t="str">
        <f>"2020/09/21"</f>
        <v>2020/09/21</v>
      </c>
      <c r="J2124" t="str">
        <f>"410"</f>
        <v>410</v>
      </c>
      <c r="K2124" t="s">
        <v>18</v>
      </c>
      <c r="L2124" t="s">
        <v>18</v>
      </c>
      <c r="M2124" t="s">
        <v>18</v>
      </c>
    </row>
    <row r="2125" spans="1:13" x14ac:dyDescent="0.25">
      <c r="A2125" t="str">
        <f>"00364310"</f>
        <v>00364310</v>
      </c>
      <c r="B2125" t="s">
        <v>1515</v>
      </c>
      <c r="C2125" t="s">
        <v>169</v>
      </c>
      <c r="D2125" t="s">
        <v>80</v>
      </c>
      <c r="E2125" t="s">
        <v>26</v>
      </c>
      <c r="F2125" t="s">
        <v>17</v>
      </c>
      <c r="G2125" t="str">
        <f>"03"</f>
        <v>03</v>
      </c>
      <c r="H2125" t="str">
        <f>"3  "</f>
        <v xml:space="preserve">3  </v>
      </c>
      <c r="I2125" t="str">
        <f>"2017/05/18"</f>
        <v>2017/05/18</v>
      </c>
      <c r="J2125" t="str">
        <f>"110"</f>
        <v>110</v>
      </c>
      <c r="K2125" t="str">
        <f>"20220706"</f>
        <v>20220706</v>
      </c>
      <c r="L2125" t="s">
        <v>18</v>
      </c>
      <c r="M2125" t="str">
        <f>"20160523"</f>
        <v>20160523</v>
      </c>
    </row>
    <row r="2126" spans="1:13" x14ac:dyDescent="0.25">
      <c r="A2126" t="str">
        <f>"00221597"</f>
        <v>00221597</v>
      </c>
      <c r="B2126" t="s">
        <v>1519</v>
      </c>
      <c r="C2126" t="s">
        <v>59</v>
      </c>
      <c r="D2126" t="s">
        <v>25</v>
      </c>
      <c r="E2126" t="s">
        <v>16</v>
      </c>
      <c r="F2126" t="s">
        <v>17</v>
      </c>
      <c r="G2126" t="str">
        <f>"03"</f>
        <v>03</v>
      </c>
      <c r="H2126" t="str">
        <f>"3  "</f>
        <v xml:space="preserve">3  </v>
      </c>
      <c r="I2126" t="str">
        <f>"2019/12/06"</f>
        <v>2019/12/06</v>
      </c>
      <c r="J2126" t="str">
        <f>"120"</f>
        <v>120</v>
      </c>
      <c r="K2126" t="str">
        <f>"20210314"</f>
        <v>20210314</v>
      </c>
      <c r="L2126" t="s">
        <v>18</v>
      </c>
      <c r="M2126" t="str">
        <f>"20191205"</f>
        <v>20191205</v>
      </c>
    </row>
    <row r="2127" spans="1:13" x14ac:dyDescent="0.25">
      <c r="A2127" t="str">
        <f>"00214419"</f>
        <v>00214419</v>
      </c>
      <c r="B2127" t="s">
        <v>1521</v>
      </c>
      <c r="C2127" t="s">
        <v>308</v>
      </c>
      <c r="D2127" t="s">
        <v>40</v>
      </c>
      <c r="E2127" t="s">
        <v>16</v>
      </c>
      <c r="F2127" t="s">
        <v>17</v>
      </c>
      <c r="G2127" t="str">
        <f>"03"</f>
        <v>03</v>
      </c>
      <c r="H2127" t="str">
        <f>"3  "</f>
        <v xml:space="preserve">3  </v>
      </c>
      <c r="I2127" t="str">
        <f>"2008/08/05"</f>
        <v>2008/08/05</v>
      </c>
      <c r="J2127" t="str">
        <f>"531"</f>
        <v>531</v>
      </c>
      <c r="K2127" t="str">
        <f>"21200120"</f>
        <v>21200120</v>
      </c>
      <c r="L2127" t="s">
        <v>18</v>
      </c>
      <c r="M2127" t="str">
        <f>"20030415"</f>
        <v>20030415</v>
      </c>
    </row>
    <row r="2128" spans="1:13" x14ac:dyDescent="0.25">
      <c r="A2128" t="str">
        <f>"00922243"</f>
        <v>00922243</v>
      </c>
      <c r="B2128" t="s">
        <v>1523</v>
      </c>
      <c r="C2128" t="s">
        <v>140</v>
      </c>
      <c r="D2128" t="s">
        <v>61</v>
      </c>
      <c r="E2128" t="s">
        <v>26</v>
      </c>
      <c r="F2128" t="s">
        <v>17</v>
      </c>
      <c r="G2128" t="str">
        <f>"03"</f>
        <v>03</v>
      </c>
      <c r="H2128" t="str">
        <f>"0  "</f>
        <v xml:space="preserve">0  </v>
      </c>
      <c r="I2128" t="str">
        <f>"2019/12/05"</f>
        <v>2019/12/05</v>
      </c>
      <c r="J2128" t="str">
        <f>"410"</f>
        <v>410</v>
      </c>
      <c r="K2128" t="s">
        <v>18</v>
      </c>
      <c r="L2128" t="s">
        <v>18</v>
      </c>
      <c r="M2128" t="s">
        <v>18</v>
      </c>
    </row>
    <row r="2129" spans="1:13" x14ac:dyDescent="0.25">
      <c r="A2129" t="str">
        <f>"00188342"</f>
        <v>00188342</v>
      </c>
      <c r="B2129" t="s">
        <v>1524</v>
      </c>
      <c r="C2129" t="s">
        <v>1525</v>
      </c>
      <c r="D2129" t="s">
        <v>37</v>
      </c>
      <c r="E2129" t="s">
        <v>26</v>
      </c>
      <c r="F2129" t="s">
        <v>17</v>
      </c>
      <c r="G2129" t="str">
        <f>"03"</f>
        <v>03</v>
      </c>
      <c r="H2129" t="str">
        <f>"0  "</f>
        <v xml:space="preserve">0  </v>
      </c>
      <c r="I2129" t="str">
        <f>"2020/09/16"</f>
        <v>2020/09/16</v>
      </c>
      <c r="J2129" t="str">
        <f>"410"</f>
        <v>410</v>
      </c>
      <c r="K2129" t="s">
        <v>18</v>
      </c>
      <c r="L2129" t="s">
        <v>18</v>
      </c>
      <c r="M2129" t="s">
        <v>18</v>
      </c>
    </row>
    <row r="2130" spans="1:13" x14ac:dyDescent="0.25">
      <c r="A2130" t="str">
        <f>"00170168"</f>
        <v>00170168</v>
      </c>
      <c r="B2130" t="s">
        <v>1542</v>
      </c>
      <c r="C2130" t="s">
        <v>327</v>
      </c>
      <c r="D2130" t="s">
        <v>15</v>
      </c>
      <c r="E2130" t="s">
        <v>16</v>
      </c>
      <c r="F2130" t="s">
        <v>17</v>
      </c>
      <c r="G2130" t="str">
        <f>"03"</f>
        <v>03</v>
      </c>
      <c r="H2130" t="str">
        <f>"0  "</f>
        <v xml:space="preserve">0  </v>
      </c>
      <c r="I2130" t="str">
        <f>"2020/09/10"</f>
        <v>2020/09/10</v>
      </c>
      <c r="J2130" t="str">
        <f>"410"</f>
        <v>410</v>
      </c>
      <c r="K2130" t="s">
        <v>18</v>
      </c>
      <c r="L2130" t="s">
        <v>18</v>
      </c>
      <c r="M2130" t="s">
        <v>18</v>
      </c>
    </row>
    <row r="2131" spans="1:13" x14ac:dyDescent="0.25">
      <c r="A2131" t="str">
        <f>"00687760"</f>
        <v>00687760</v>
      </c>
      <c r="B2131" t="s">
        <v>1546</v>
      </c>
      <c r="C2131" t="s">
        <v>71</v>
      </c>
      <c r="D2131" t="s">
        <v>25</v>
      </c>
      <c r="E2131" t="s">
        <v>26</v>
      </c>
      <c r="F2131" t="s">
        <v>17</v>
      </c>
      <c r="G2131" t="str">
        <f>"03"</f>
        <v>03</v>
      </c>
      <c r="H2131" t="str">
        <f>"0  "</f>
        <v xml:space="preserve">0  </v>
      </c>
      <c r="I2131" t="str">
        <f>"2020/02/27"</f>
        <v>2020/02/27</v>
      </c>
      <c r="J2131" t="str">
        <f>"410"</f>
        <v>410</v>
      </c>
      <c r="K2131" t="s">
        <v>18</v>
      </c>
      <c r="L2131" t="s">
        <v>18</v>
      </c>
      <c r="M2131" t="s">
        <v>18</v>
      </c>
    </row>
    <row r="2132" spans="1:13" x14ac:dyDescent="0.25">
      <c r="A2132" t="str">
        <f>"00832993"</f>
        <v>00832993</v>
      </c>
      <c r="B2132" t="s">
        <v>1546</v>
      </c>
      <c r="C2132" t="s">
        <v>656</v>
      </c>
      <c r="D2132" t="s">
        <v>97</v>
      </c>
      <c r="E2132" t="s">
        <v>26</v>
      </c>
      <c r="F2132" t="s">
        <v>17</v>
      </c>
      <c r="G2132" t="str">
        <f>"03"</f>
        <v>03</v>
      </c>
      <c r="H2132" t="str">
        <f>"0  "</f>
        <v xml:space="preserve">0  </v>
      </c>
      <c r="I2132" t="str">
        <f>"2020/02/09"</f>
        <v>2020/02/09</v>
      </c>
      <c r="J2132" t="str">
        <f>"410"</f>
        <v>410</v>
      </c>
      <c r="K2132" t="s">
        <v>18</v>
      </c>
      <c r="L2132" t="s">
        <v>18</v>
      </c>
      <c r="M2132" t="s">
        <v>18</v>
      </c>
    </row>
    <row r="2133" spans="1:13" x14ac:dyDescent="0.25">
      <c r="A2133" t="str">
        <f>"00617032"</f>
        <v>00617032</v>
      </c>
      <c r="B2133" t="s">
        <v>1550</v>
      </c>
      <c r="C2133" t="s">
        <v>1551</v>
      </c>
      <c r="D2133" t="s">
        <v>51</v>
      </c>
      <c r="E2133" t="s">
        <v>26</v>
      </c>
      <c r="F2133" t="s">
        <v>17</v>
      </c>
      <c r="G2133" t="str">
        <f>"03"</f>
        <v>03</v>
      </c>
      <c r="H2133" t="str">
        <f>"3  "</f>
        <v xml:space="preserve">3  </v>
      </c>
      <c r="I2133" t="str">
        <f>"2018/10/15"</f>
        <v>2018/10/15</v>
      </c>
      <c r="J2133" t="str">
        <f>"110"</f>
        <v>110</v>
      </c>
      <c r="K2133" t="str">
        <f>"20400803"</f>
        <v>20400803</v>
      </c>
      <c r="L2133" t="s">
        <v>18</v>
      </c>
      <c r="M2133" t="str">
        <f>"20180503"</f>
        <v>20180503</v>
      </c>
    </row>
    <row r="2134" spans="1:13" x14ac:dyDescent="0.25">
      <c r="A2134" t="str">
        <f>"00680043"</f>
        <v>00680043</v>
      </c>
      <c r="B2134" t="s">
        <v>1565</v>
      </c>
      <c r="C2134" t="s">
        <v>176</v>
      </c>
      <c r="D2134" t="s">
        <v>80</v>
      </c>
      <c r="E2134" t="s">
        <v>16</v>
      </c>
      <c r="F2134" t="s">
        <v>17</v>
      </c>
      <c r="G2134" t="str">
        <f>"03"</f>
        <v>03</v>
      </c>
      <c r="H2134" t="str">
        <f>"3  "</f>
        <v xml:space="preserve">3  </v>
      </c>
      <c r="I2134" t="str">
        <f>"2016/07/11"</f>
        <v>2016/07/11</v>
      </c>
      <c r="J2134" t="str">
        <f>"110"</f>
        <v>110</v>
      </c>
      <c r="K2134" t="str">
        <f>"20330619"</f>
        <v>20330619</v>
      </c>
      <c r="L2134" t="s">
        <v>18</v>
      </c>
      <c r="M2134" t="str">
        <f>"20111008"</f>
        <v>20111008</v>
      </c>
    </row>
    <row r="2135" spans="1:13" x14ac:dyDescent="0.25">
      <c r="A2135" t="str">
        <f>"00445791"</f>
        <v>00445791</v>
      </c>
      <c r="B2135" t="s">
        <v>1568</v>
      </c>
      <c r="C2135" t="s">
        <v>348</v>
      </c>
      <c r="D2135" t="s">
        <v>80</v>
      </c>
      <c r="E2135" t="s">
        <v>16</v>
      </c>
      <c r="F2135" t="s">
        <v>17</v>
      </c>
      <c r="G2135" t="str">
        <f>"03"</f>
        <v>03</v>
      </c>
      <c r="H2135" t="str">
        <f>"3  "</f>
        <v xml:space="preserve">3  </v>
      </c>
      <c r="I2135" t="str">
        <f>"2020/09/03"</f>
        <v>2020/09/03</v>
      </c>
      <c r="J2135" t="str">
        <f>"502"</f>
        <v>502</v>
      </c>
      <c r="K2135" t="str">
        <f>"20220102"</f>
        <v>20220102</v>
      </c>
      <c r="L2135" t="s">
        <v>18</v>
      </c>
      <c r="M2135" t="str">
        <f>"20150423"</f>
        <v>20150423</v>
      </c>
    </row>
    <row r="2136" spans="1:13" x14ac:dyDescent="0.25">
      <c r="A2136" t="str">
        <f>"00804641"</f>
        <v>00804641</v>
      </c>
      <c r="B2136" t="s">
        <v>1569</v>
      </c>
      <c r="C2136" t="s">
        <v>1570</v>
      </c>
      <c r="D2136" t="s">
        <v>61</v>
      </c>
      <c r="E2136" t="s">
        <v>26</v>
      </c>
      <c r="F2136" t="s">
        <v>17</v>
      </c>
      <c r="G2136" t="str">
        <f>"03"</f>
        <v>03</v>
      </c>
      <c r="H2136" t="str">
        <f>"3  "</f>
        <v xml:space="preserve">3  </v>
      </c>
      <c r="I2136" t="str">
        <f>"2019/10/22"</f>
        <v>2019/10/22</v>
      </c>
      <c r="J2136" t="str">
        <f>"110"</f>
        <v>110</v>
      </c>
      <c r="K2136" t="str">
        <f>"20210322"</f>
        <v>20210322</v>
      </c>
      <c r="L2136" t="s">
        <v>18</v>
      </c>
      <c r="M2136" t="str">
        <f>"20190604"</f>
        <v>20190604</v>
      </c>
    </row>
    <row r="2137" spans="1:13" x14ac:dyDescent="0.25">
      <c r="A2137" t="str">
        <f>"00896465"</f>
        <v>00896465</v>
      </c>
      <c r="B2137" t="s">
        <v>1569</v>
      </c>
      <c r="C2137" t="s">
        <v>1472</v>
      </c>
      <c r="D2137" t="s">
        <v>25</v>
      </c>
      <c r="E2137" t="s">
        <v>26</v>
      </c>
      <c r="F2137" t="s">
        <v>17</v>
      </c>
      <c r="G2137" t="str">
        <f>"03"</f>
        <v>03</v>
      </c>
      <c r="H2137" t="str">
        <f>"1  "</f>
        <v xml:space="preserve">1  </v>
      </c>
      <c r="I2137" t="str">
        <f>"2020/01/31"</f>
        <v>2020/01/31</v>
      </c>
      <c r="J2137" t="str">
        <f>"110"</f>
        <v>110</v>
      </c>
      <c r="K2137" t="str">
        <f>"20201212"</f>
        <v>20201212</v>
      </c>
      <c r="L2137" t="s">
        <v>18</v>
      </c>
      <c r="M2137" t="str">
        <f>"20200110"</f>
        <v>20200110</v>
      </c>
    </row>
    <row r="2138" spans="1:13" x14ac:dyDescent="0.25">
      <c r="A2138" t="str">
        <f>"00486439"</f>
        <v>00486439</v>
      </c>
      <c r="B2138" t="s">
        <v>1571</v>
      </c>
      <c r="C2138" t="s">
        <v>346</v>
      </c>
      <c r="D2138" t="s">
        <v>25</v>
      </c>
      <c r="E2138" t="s">
        <v>16</v>
      </c>
      <c r="F2138" t="s">
        <v>17</v>
      </c>
      <c r="G2138" t="str">
        <f>"03"</f>
        <v>03</v>
      </c>
      <c r="H2138" t="str">
        <f>"3  "</f>
        <v xml:space="preserve">3  </v>
      </c>
      <c r="I2138" t="str">
        <f>"2019/06/19"</f>
        <v>2019/06/19</v>
      </c>
      <c r="J2138" t="str">
        <f>"110"</f>
        <v>110</v>
      </c>
      <c r="K2138" t="str">
        <f>"20320813"</f>
        <v>20320813</v>
      </c>
      <c r="L2138" t="s">
        <v>18</v>
      </c>
      <c r="M2138" t="str">
        <f>"20190129"</f>
        <v>20190129</v>
      </c>
    </row>
    <row r="2139" spans="1:13" x14ac:dyDescent="0.25">
      <c r="A2139" t="str">
        <f>"00373506"</f>
        <v>00373506</v>
      </c>
      <c r="B2139" t="s">
        <v>1572</v>
      </c>
      <c r="C2139" t="s">
        <v>66</v>
      </c>
      <c r="D2139" t="s">
        <v>80</v>
      </c>
      <c r="E2139" t="s">
        <v>16</v>
      </c>
      <c r="F2139" t="s">
        <v>17</v>
      </c>
      <c r="G2139" t="str">
        <f>"03"</f>
        <v>03</v>
      </c>
      <c r="H2139" t="str">
        <f>"3  "</f>
        <v xml:space="preserve">3  </v>
      </c>
      <c r="I2139" t="str">
        <f>"2017/02/07"</f>
        <v>2017/02/07</v>
      </c>
      <c r="J2139" t="str">
        <f>"110"</f>
        <v>110</v>
      </c>
      <c r="K2139" t="str">
        <f>"20470726"</f>
        <v>20470726</v>
      </c>
      <c r="L2139" t="s">
        <v>18</v>
      </c>
      <c r="M2139" t="str">
        <f>"20160619"</f>
        <v>20160619</v>
      </c>
    </row>
    <row r="2140" spans="1:13" x14ac:dyDescent="0.25">
      <c r="A2140" t="str">
        <f>"00928257"</f>
        <v>00928257</v>
      </c>
      <c r="B2140" t="s">
        <v>1584</v>
      </c>
      <c r="C2140" t="s">
        <v>191</v>
      </c>
      <c r="D2140" t="s">
        <v>25</v>
      </c>
      <c r="E2140" t="s">
        <v>26</v>
      </c>
      <c r="F2140" t="s">
        <v>17</v>
      </c>
      <c r="G2140" t="str">
        <f>"03"</f>
        <v>03</v>
      </c>
      <c r="H2140" t="str">
        <f>"0  "</f>
        <v xml:space="preserve">0  </v>
      </c>
      <c r="I2140" t="str">
        <f>"2020/03/15"</f>
        <v>2020/03/15</v>
      </c>
      <c r="J2140" t="str">
        <f>"410"</f>
        <v>410</v>
      </c>
      <c r="K2140" t="s">
        <v>18</v>
      </c>
      <c r="L2140" t="s">
        <v>18</v>
      </c>
      <c r="M2140" t="s">
        <v>18</v>
      </c>
    </row>
    <row r="2141" spans="1:13" x14ac:dyDescent="0.25">
      <c r="A2141" t="str">
        <f>"00440349"</f>
        <v>00440349</v>
      </c>
      <c r="B2141" t="s">
        <v>1589</v>
      </c>
      <c r="C2141" t="s">
        <v>1590</v>
      </c>
      <c r="D2141" t="s">
        <v>61</v>
      </c>
      <c r="E2141" t="s">
        <v>26</v>
      </c>
      <c r="F2141" t="s">
        <v>17</v>
      </c>
      <c r="G2141" t="str">
        <f>"03"</f>
        <v>03</v>
      </c>
      <c r="H2141" t="str">
        <f>"3  "</f>
        <v xml:space="preserve">3  </v>
      </c>
      <c r="I2141" t="str">
        <f>"2013/08/29"</f>
        <v>2013/08/29</v>
      </c>
      <c r="J2141" t="str">
        <f>"110"</f>
        <v>110</v>
      </c>
      <c r="K2141" t="str">
        <f>"20230905"</f>
        <v>20230905</v>
      </c>
      <c r="L2141" t="s">
        <v>18</v>
      </c>
      <c r="M2141" t="str">
        <f>"20130107"</f>
        <v>20130107</v>
      </c>
    </row>
    <row r="2142" spans="1:13" x14ac:dyDescent="0.25">
      <c r="A2142" t="str">
        <f>"00926125"</f>
        <v>00926125</v>
      </c>
      <c r="B2142" t="s">
        <v>1593</v>
      </c>
      <c r="C2142" t="s">
        <v>1594</v>
      </c>
      <c r="D2142" t="s">
        <v>61</v>
      </c>
      <c r="E2142" t="s">
        <v>16</v>
      </c>
      <c r="F2142" t="s">
        <v>17</v>
      </c>
      <c r="G2142" t="str">
        <f>"03"</f>
        <v>03</v>
      </c>
      <c r="H2142" t="str">
        <f>"0  "</f>
        <v xml:space="preserve">0  </v>
      </c>
      <c r="I2142" t="str">
        <f>"2020/02/13"</f>
        <v>2020/02/13</v>
      </c>
      <c r="J2142" t="str">
        <f>"410"</f>
        <v>410</v>
      </c>
      <c r="K2142" t="s">
        <v>18</v>
      </c>
      <c r="L2142" t="s">
        <v>18</v>
      </c>
      <c r="M2142" t="s">
        <v>18</v>
      </c>
    </row>
    <row r="2143" spans="1:13" x14ac:dyDescent="0.25">
      <c r="A2143" t="str">
        <f>"00378862"</f>
        <v>00378862</v>
      </c>
      <c r="B2143" t="s">
        <v>1593</v>
      </c>
      <c r="C2143" t="s">
        <v>1595</v>
      </c>
      <c r="D2143" t="s">
        <v>25</v>
      </c>
      <c r="E2143" t="s">
        <v>16</v>
      </c>
      <c r="F2143" t="s">
        <v>17</v>
      </c>
      <c r="G2143" t="str">
        <f>"03"</f>
        <v>03</v>
      </c>
      <c r="H2143" t="str">
        <f>"3  "</f>
        <v xml:space="preserve">3  </v>
      </c>
      <c r="I2143" t="str">
        <f>"2019/06/10"</f>
        <v>2019/06/10</v>
      </c>
      <c r="J2143" t="str">
        <f>"110"</f>
        <v>110</v>
      </c>
      <c r="K2143" t="str">
        <f>"20200930"</f>
        <v>20200930</v>
      </c>
      <c r="L2143" t="s">
        <v>18</v>
      </c>
      <c r="M2143" t="str">
        <f>"20190604"</f>
        <v>20190604</v>
      </c>
    </row>
    <row r="2144" spans="1:13" x14ac:dyDescent="0.25">
      <c r="A2144" t="str">
        <f>"00724182"</f>
        <v>00724182</v>
      </c>
      <c r="B2144" t="s">
        <v>1596</v>
      </c>
      <c r="C2144" t="s">
        <v>135</v>
      </c>
      <c r="D2144" t="s">
        <v>15</v>
      </c>
      <c r="E2144" t="s">
        <v>26</v>
      </c>
      <c r="F2144" t="s">
        <v>17</v>
      </c>
      <c r="G2144" t="str">
        <f>"03"</f>
        <v>03</v>
      </c>
      <c r="H2144" t="str">
        <f>"3  "</f>
        <v xml:space="preserve">3  </v>
      </c>
      <c r="I2144" t="str">
        <f>"2019/08/30"</f>
        <v>2019/08/30</v>
      </c>
      <c r="J2144" t="str">
        <f>"110"</f>
        <v>110</v>
      </c>
      <c r="K2144" t="str">
        <f>"20211031"</f>
        <v>20211031</v>
      </c>
      <c r="L2144" t="s">
        <v>18</v>
      </c>
      <c r="M2144" t="str">
        <f>"20181219"</f>
        <v>20181219</v>
      </c>
    </row>
    <row r="2145" spans="1:13" x14ac:dyDescent="0.25">
      <c r="A2145" t="str">
        <f>"00370559"</f>
        <v>00370559</v>
      </c>
      <c r="B2145" t="s">
        <v>1616</v>
      </c>
      <c r="C2145" t="s">
        <v>1617</v>
      </c>
      <c r="D2145" t="s">
        <v>61</v>
      </c>
      <c r="E2145" t="s">
        <v>26</v>
      </c>
      <c r="F2145" t="s">
        <v>17</v>
      </c>
      <c r="G2145" t="str">
        <f>"03"</f>
        <v>03</v>
      </c>
      <c r="H2145" t="str">
        <f>"3  "</f>
        <v xml:space="preserve">3  </v>
      </c>
      <c r="I2145" t="str">
        <f>"2013/09/06"</f>
        <v>2013/09/06</v>
      </c>
      <c r="J2145" t="str">
        <f>"502"</f>
        <v>502</v>
      </c>
      <c r="K2145" t="str">
        <f>"20231030"</f>
        <v>20231030</v>
      </c>
      <c r="L2145" t="s">
        <v>18</v>
      </c>
      <c r="M2145" t="str">
        <f>"20110715"</f>
        <v>20110715</v>
      </c>
    </row>
    <row r="2146" spans="1:13" x14ac:dyDescent="0.25">
      <c r="A2146" t="str">
        <f>"00414364"</f>
        <v>00414364</v>
      </c>
      <c r="B2146" t="s">
        <v>1616</v>
      </c>
      <c r="C2146" t="s">
        <v>237</v>
      </c>
      <c r="D2146" t="s">
        <v>21</v>
      </c>
      <c r="E2146" t="s">
        <v>26</v>
      </c>
      <c r="F2146" t="s">
        <v>17</v>
      </c>
      <c r="G2146" t="str">
        <f>"03"</f>
        <v>03</v>
      </c>
      <c r="H2146" t="str">
        <f>"7  "</f>
        <v xml:space="preserve">7  </v>
      </c>
      <c r="I2146" t="str">
        <f>"2010/07/14"</f>
        <v>2010/07/14</v>
      </c>
      <c r="J2146" t="str">
        <f>"502"</f>
        <v>502</v>
      </c>
      <c r="K2146" t="s">
        <v>18</v>
      </c>
      <c r="L2146" t="s">
        <v>18</v>
      </c>
      <c r="M2146" t="str">
        <f>"20080129"</f>
        <v>20080129</v>
      </c>
    </row>
    <row r="2147" spans="1:13" x14ac:dyDescent="0.25">
      <c r="A2147" t="str">
        <f>"00231726"</f>
        <v>00231726</v>
      </c>
      <c r="B2147" t="s">
        <v>1616</v>
      </c>
      <c r="C2147" t="s">
        <v>1619</v>
      </c>
      <c r="D2147" t="s">
        <v>53</v>
      </c>
      <c r="E2147" t="s">
        <v>26</v>
      </c>
      <c r="F2147" t="s">
        <v>17</v>
      </c>
      <c r="G2147" t="str">
        <f>"03"</f>
        <v>03</v>
      </c>
      <c r="H2147" t="str">
        <f>"3  "</f>
        <v xml:space="preserve">3  </v>
      </c>
      <c r="I2147" t="str">
        <f>"2020/03/05"</f>
        <v>2020/03/05</v>
      </c>
      <c r="J2147" t="str">
        <f>"510"</f>
        <v>510</v>
      </c>
      <c r="K2147" t="str">
        <f>"20210411"</f>
        <v>20210411</v>
      </c>
      <c r="L2147" t="s">
        <v>18</v>
      </c>
      <c r="M2147" t="str">
        <f>"20180207"</f>
        <v>20180207</v>
      </c>
    </row>
    <row r="2148" spans="1:13" x14ac:dyDescent="0.25">
      <c r="A2148" t="str">
        <f>"00284259"</f>
        <v>00284259</v>
      </c>
      <c r="B2148" t="s">
        <v>1625</v>
      </c>
      <c r="C2148" t="s">
        <v>74</v>
      </c>
      <c r="D2148" t="s">
        <v>215</v>
      </c>
      <c r="E2148" t="s">
        <v>16</v>
      </c>
      <c r="F2148" t="s">
        <v>17</v>
      </c>
      <c r="G2148" t="str">
        <f>"03"</f>
        <v>03</v>
      </c>
      <c r="H2148" t="str">
        <f>"3  "</f>
        <v xml:space="preserve">3  </v>
      </c>
      <c r="I2148" t="str">
        <f>"2018/06/02"</f>
        <v>2018/06/02</v>
      </c>
      <c r="J2148" t="str">
        <f>"110"</f>
        <v>110</v>
      </c>
      <c r="K2148" t="str">
        <f>"20410509"</f>
        <v>20410509</v>
      </c>
      <c r="L2148" t="s">
        <v>18</v>
      </c>
      <c r="M2148" t="str">
        <f>"20180215"</f>
        <v>20180215</v>
      </c>
    </row>
    <row r="2149" spans="1:13" x14ac:dyDescent="0.25">
      <c r="A2149" t="str">
        <f>"00564284"</f>
        <v>00564284</v>
      </c>
      <c r="B2149" t="s">
        <v>1626</v>
      </c>
      <c r="C2149" t="s">
        <v>1629</v>
      </c>
      <c r="D2149" t="s">
        <v>51</v>
      </c>
      <c r="E2149" t="s">
        <v>26</v>
      </c>
      <c r="F2149" t="s">
        <v>17</v>
      </c>
      <c r="G2149" t="str">
        <f>"03"</f>
        <v>03</v>
      </c>
      <c r="H2149" t="str">
        <f>"3  "</f>
        <v xml:space="preserve">3  </v>
      </c>
      <c r="I2149" t="str">
        <f>"2019/04/26"</f>
        <v>2019/04/26</v>
      </c>
      <c r="J2149" t="str">
        <f>"120"</f>
        <v>120</v>
      </c>
      <c r="K2149" t="str">
        <f>"20230422"</f>
        <v>20230422</v>
      </c>
      <c r="L2149" t="s">
        <v>18</v>
      </c>
      <c r="M2149" t="str">
        <f>"20181113"</f>
        <v>20181113</v>
      </c>
    </row>
    <row r="2150" spans="1:13" x14ac:dyDescent="0.25">
      <c r="A2150" t="str">
        <f>"00558308"</f>
        <v>00558308</v>
      </c>
      <c r="B2150" t="s">
        <v>1630</v>
      </c>
      <c r="C2150" t="s">
        <v>1631</v>
      </c>
      <c r="D2150" t="s">
        <v>25</v>
      </c>
      <c r="E2150" t="s">
        <v>26</v>
      </c>
      <c r="F2150" t="s">
        <v>17</v>
      </c>
      <c r="G2150" t="str">
        <f>"03"</f>
        <v>03</v>
      </c>
      <c r="H2150" t="str">
        <f>"3  "</f>
        <v xml:space="preserve">3  </v>
      </c>
      <c r="I2150" t="str">
        <f>"2017/01/20"</f>
        <v>2017/01/20</v>
      </c>
      <c r="J2150" t="str">
        <f>"110"</f>
        <v>110</v>
      </c>
      <c r="K2150" t="str">
        <f>"20240723"</f>
        <v>20240723</v>
      </c>
      <c r="L2150" t="s">
        <v>18</v>
      </c>
      <c r="M2150" t="str">
        <f>"20151225"</f>
        <v>20151225</v>
      </c>
    </row>
    <row r="2151" spans="1:13" x14ac:dyDescent="0.25">
      <c r="A2151" t="str">
        <f>"00935495"</f>
        <v>00935495</v>
      </c>
      <c r="B2151" t="s">
        <v>1633</v>
      </c>
      <c r="C2151" t="s">
        <v>49</v>
      </c>
      <c r="D2151" t="s">
        <v>37</v>
      </c>
      <c r="E2151" t="s">
        <v>26</v>
      </c>
      <c r="F2151" t="s">
        <v>17</v>
      </c>
      <c r="G2151" t="str">
        <f>"03"</f>
        <v>03</v>
      </c>
      <c r="H2151" t="str">
        <f>"0  "</f>
        <v xml:space="preserve">0  </v>
      </c>
      <c r="I2151" t="str">
        <f>"2020/08/22"</f>
        <v>2020/08/22</v>
      </c>
      <c r="J2151" t="str">
        <f>"410"</f>
        <v>410</v>
      </c>
      <c r="K2151" t="s">
        <v>18</v>
      </c>
      <c r="L2151" t="s">
        <v>18</v>
      </c>
      <c r="M2151" t="s">
        <v>18</v>
      </c>
    </row>
    <row r="2152" spans="1:13" x14ac:dyDescent="0.25">
      <c r="A2152" t="str">
        <f>"00886934"</f>
        <v>00886934</v>
      </c>
      <c r="B2152" t="s">
        <v>1636</v>
      </c>
      <c r="C2152" t="s">
        <v>261</v>
      </c>
      <c r="D2152" t="s">
        <v>97</v>
      </c>
      <c r="E2152" t="s">
        <v>26</v>
      </c>
      <c r="F2152" t="s">
        <v>17</v>
      </c>
      <c r="G2152" t="str">
        <f>"03"</f>
        <v>03</v>
      </c>
      <c r="H2152" t="str">
        <f>"0  "</f>
        <v xml:space="preserve">0  </v>
      </c>
      <c r="I2152" t="str">
        <f>"2020/04/03"</f>
        <v>2020/04/03</v>
      </c>
      <c r="J2152" t="str">
        <f>"410"</f>
        <v>410</v>
      </c>
      <c r="K2152" t="s">
        <v>18</v>
      </c>
      <c r="L2152" t="s">
        <v>18</v>
      </c>
      <c r="M2152" t="s">
        <v>18</v>
      </c>
    </row>
    <row r="2153" spans="1:13" x14ac:dyDescent="0.25">
      <c r="A2153" t="str">
        <f>"00869631"</f>
        <v>00869631</v>
      </c>
      <c r="B2153" t="s">
        <v>1659</v>
      </c>
      <c r="C2153" t="s">
        <v>218</v>
      </c>
      <c r="D2153" t="s">
        <v>45</v>
      </c>
      <c r="E2153" t="s">
        <v>16</v>
      </c>
      <c r="F2153" t="s">
        <v>17</v>
      </c>
      <c r="G2153" t="str">
        <f>"03"</f>
        <v>03</v>
      </c>
      <c r="H2153" t="str">
        <f>"3  "</f>
        <v xml:space="preserve">3  </v>
      </c>
      <c r="I2153" t="str">
        <f>"2018/05/03"</f>
        <v>2018/05/03</v>
      </c>
      <c r="J2153" t="str">
        <f>"110"</f>
        <v>110</v>
      </c>
      <c r="K2153" t="str">
        <f>"20400425"</f>
        <v>20400425</v>
      </c>
      <c r="L2153" t="s">
        <v>18</v>
      </c>
      <c r="M2153" t="str">
        <f>"20171129"</f>
        <v>20171129</v>
      </c>
    </row>
    <row r="2154" spans="1:13" x14ac:dyDescent="0.25">
      <c r="A2154" t="str">
        <f>"00833865"</f>
        <v>00833865</v>
      </c>
      <c r="B2154" t="s">
        <v>1660</v>
      </c>
      <c r="C2154" t="s">
        <v>74</v>
      </c>
      <c r="D2154" t="s">
        <v>25</v>
      </c>
      <c r="E2154" t="s">
        <v>16</v>
      </c>
      <c r="F2154" t="s">
        <v>17</v>
      </c>
      <c r="G2154" t="str">
        <f>"03"</f>
        <v>03</v>
      </c>
      <c r="H2154" t="str">
        <f>"3  "</f>
        <v xml:space="preserve">3  </v>
      </c>
      <c r="I2154" t="str">
        <f>"2017/06/23"</f>
        <v>2017/06/23</v>
      </c>
      <c r="J2154" t="str">
        <f>"110"</f>
        <v>110</v>
      </c>
      <c r="K2154" t="str">
        <f>"20450203"</f>
        <v>20450203</v>
      </c>
      <c r="L2154" t="s">
        <v>18</v>
      </c>
      <c r="M2154" t="str">
        <f>"20160729"</f>
        <v>20160729</v>
      </c>
    </row>
    <row r="2155" spans="1:13" x14ac:dyDescent="0.25">
      <c r="A2155" t="str">
        <f>"00618108"</f>
        <v>00618108</v>
      </c>
      <c r="B2155" t="s">
        <v>1666</v>
      </c>
      <c r="C2155" t="s">
        <v>1667</v>
      </c>
      <c r="D2155" t="s">
        <v>80</v>
      </c>
      <c r="E2155" t="s">
        <v>26</v>
      </c>
      <c r="F2155" t="s">
        <v>17</v>
      </c>
      <c r="G2155" t="str">
        <f>"03"</f>
        <v>03</v>
      </c>
      <c r="H2155" t="str">
        <f>"3  "</f>
        <v xml:space="preserve">3  </v>
      </c>
      <c r="I2155" t="str">
        <f>"2015/06/05"</f>
        <v>2015/06/05</v>
      </c>
      <c r="J2155" t="str">
        <f>"110"</f>
        <v>110</v>
      </c>
      <c r="K2155" t="str">
        <f>"20270314"</f>
        <v>20270314</v>
      </c>
      <c r="L2155" t="s">
        <v>18</v>
      </c>
      <c r="M2155" t="str">
        <f>"20140418"</f>
        <v>20140418</v>
      </c>
    </row>
    <row r="2156" spans="1:13" x14ac:dyDescent="0.25">
      <c r="A2156" t="str">
        <f>"00611895"</f>
        <v>00611895</v>
      </c>
      <c r="B2156" t="s">
        <v>1672</v>
      </c>
      <c r="C2156" t="s">
        <v>936</v>
      </c>
      <c r="D2156" t="s">
        <v>25</v>
      </c>
      <c r="E2156" t="s">
        <v>16</v>
      </c>
      <c r="F2156" t="s">
        <v>17</v>
      </c>
      <c r="G2156" t="str">
        <f>"03"</f>
        <v>03</v>
      </c>
      <c r="H2156" t="str">
        <f>"3  "</f>
        <v xml:space="preserve">3  </v>
      </c>
      <c r="I2156" t="str">
        <f>"2014/10/17"</f>
        <v>2014/10/17</v>
      </c>
      <c r="J2156" t="str">
        <f>"110"</f>
        <v>110</v>
      </c>
      <c r="K2156" t="str">
        <f>"20380413"</f>
        <v>20380413</v>
      </c>
      <c r="L2156" t="s">
        <v>18</v>
      </c>
      <c r="M2156" t="str">
        <f>"20130930"</f>
        <v>20130930</v>
      </c>
    </row>
    <row r="2157" spans="1:13" x14ac:dyDescent="0.25">
      <c r="A2157" t="str">
        <f>"00834538"</f>
        <v>00834538</v>
      </c>
      <c r="B2157" t="s">
        <v>1672</v>
      </c>
      <c r="C2157" t="s">
        <v>96</v>
      </c>
      <c r="D2157" t="s">
        <v>25</v>
      </c>
      <c r="E2157" t="s">
        <v>16</v>
      </c>
      <c r="F2157" t="s">
        <v>17</v>
      </c>
      <c r="G2157" t="str">
        <f>"03"</f>
        <v>03</v>
      </c>
      <c r="H2157" t="str">
        <f>"0  "</f>
        <v xml:space="preserve">0  </v>
      </c>
      <c r="I2157" t="str">
        <f>"2020/09/10"</f>
        <v>2020/09/10</v>
      </c>
      <c r="J2157" t="str">
        <f>"410"</f>
        <v>410</v>
      </c>
      <c r="K2157" t="s">
        <v>18</v>
      </c>
      <c r="L2157" t="s">
        <v>18</v>
      </c>
      <c r="M2157" t="s">
        <v>18</v>
      </c>
    </row>
    <row r="2158" spans="1:13" x14ac:dyDescent="0.25">
      <c r="A2158" t="str">
        <f>"00350341"</f>
        <v>00350341</v>
      </c>
      <c r="B2158" t="s">
        <v>1679</v>
      </c>
      <c r="C2158" t="s">
        <v>44</v>
      </c>
      <c r="D2158" t="s">
        <v>61</v>
      </c>
      <c r="E2158" t="s">
        <v>16</v>
      </c>
      <c r="F2158" t="s">
        <v>17</v>
      </c>
      <c r="G2158" t="str">
        <f>"03"</f>
        <v>03</v>
      </c>
      <c r="H2158" t="str">
        <f>"0  "</f>
        <v xml:space="preserve">0  </v>
      </c>
      <c r="I2158" t="str">
        <f>"2020/08/24"</f>
        <v>2020/08/24</v>
      </c>
      <c r="J2158" t="str">
        <f>"410"</f>
        <v>410</v>
      </c>
      <c r="K2158" t="s">
        <v>18</v>
      </c>
      <c r="L2158" t="s">
        <v>18</v>
      </c>
      <c r="M2158" t="s">
        <v>18</v>
      </c>
    </row>
    <row r="2159" spans="1:13" x14ac:dyDescent="0.25">
      <c r="A2159" t="str">
        <f>"00157689"</f>
        <v>00157689</v>
      </c>
      <c r="B2159" t="s">
        <v>1681</v>
      </c>
      <c r="C2159" t="s">
        <v>1682</v>
      </c>
      <c r="D2159" t="s">
        <v>15</v>
      </c>
      <c r="E2159" t="s">
        <v>16</v>
      </c>
      <c r="F2159" t="s">
        <v>17</v>
      </c>
      <c r="G2159" t="str">
        <f>"03"</f>
        <v>03</v>
      </c>
      <c r="H2159" t="str">
        <f>"7  "</f>
        <v xml:space="preserve">7  </v>
      </c>
      <c r="I2159" t="str">
        <f>"1997/10/22"</f>
        <v>1997/10/22</v>
      </c>
      <c r="J2159" t="str">
        <f>"502"</f>
        <v>502</v>
      </c>
      <c r="K2159" t="s">
        <v>18</v>
      </c>
      <c r="L2159" t="s">
        <v>18</v>
      </c>
      <c r="M2159" t="str">
        <f>"19860115"</f>
        <v>19860115</v>
      </c>
    </row>
    <row r="2160" spans="1:13" x14ac:dyDescent="0.25">
      <c r="A2160" t="str">
        <f>"00522578"</f>
        <v>00522578</v>
      </c>
      <c r="B2160" t="s">
        <v>1688</v>
      </c>
      <c r="C2160" t="s">
        <v>74</v>
      </c>
      <c r="D2160" t="s">
        <v>15</v>
      </c>
      <c r="E2160" t="s">
        <v>16</v>
      </c>
      <c r="F2160" t="s">
        <v>17</v>
      </c>
      <c r="G2160" t="str">
        <f>"03"</f>
        <v>03</v>
      </c>
      <c r="H2160" t="str">
        <f>"0  "</f>
        <v xml:space="preserve">0  </v>
      </c>
      <c r="I2160" t="str">
        <f>"2020/09/15"</f>
        <v>2020/09/15</v>
      </c>
      <c r="J2160" t="str">
        <f>"420"</f>
        <v>420</v>
      </c>
      <c r="K2160" t="s">
        <v>18</v>
      </c>
      <c r="L2160" t="s">
        <v>18</v>
      </c>
      <c r="M2160" t="s">
        <v>18</v>
      </c>
    </row>
    <row r="2161" spans="1:13" x14ac:dyDescent="0.25">
      <c r="A2161" t="str">
        <f>"00741905"</f>
        <v>00741905</v>
      </c>
      <c r="B2161" t="s">
        <v>1689</v>
      </c>
      <c r="C2161" t="s">
        <v>1690</v>
      </c>
      <c r="D2161" t="s">
        <v>40</v>
      </c>
      <c r="E2161" t="s">
        <v>26</v>
      </c>
      <c r="F2161" t="s">
        <v>17</v>
      </c>
      <c r="G2161" t="str">
        <f>"03"</f>
        <v>03</v>
      </c>
      <c r="H2161" t="str">
        <f>"3  "</f>
        <v xml:space="preserve">3  </v>
      </c>
      <c r="I2161" t="str">
        <f>"2019/05/01"</f>
        <v>2019/05/01</v>
      </c>
      <c r="J2161" t="str">
        <f>"110"</f>
        <v>110</v>
      </c>
      <c r="K2161" t="str">
        <f>"20670410"</f>
        <v>20670410</v>
      </c>
      <c r="L2161" t="s">
        <v>18</v>
      </c>
      <c r="M2161" t="str">
        <f>"20181022"</f>
        <v>20181022</v>
      </c>
    </row>
    <row r="2162" spans="1:13" x14ac:dyDescent="0.25">
      <c r="A2162" t="str">
        <f>"00656432"</f>
        <v>00656432</v>
      </c>
      <c r="B2162" t="s">
        <v>1689</v>
      </c>
      <c r="C2162" t="s">
        <v>74</v>
      </c>
      <c r="D2162" t="s">
        <v>53</v>
      </c>
      <c r="E2162" t="s">
        <v>16</v>
      </c>
      <c r="F2162" t="s">
        <v>17</v>
      </c>
      <c r="G2162" t="str">
        <f>"03"</f>
        <v>03</v>
      </c>
      <c r="H2162" t="str">
        <f>"0  "</f>
        <v xml:space="preserve">0  </v>
      </c>
      <c r="I2162" t="str">
        <f>"2020/01/14"</f>
        <v>2020/01/14</v>
      </c>
      <c r="J2162" t="str">
        <f>"410"</f>
        <v>410</v>
      </c>
      <c r="K2162" t="s">
        <v>18</v>
      </c>
      <c r="L2162" t="s">
        <v>18</v>
      </c>
      <c r="M2162" t="s">
        <v>18</v>
      </c>
    </row>
    <row r="2163" spans="1:13" x14ac:dyDescent="0.25">
      <c r="A2163" t="str">
        <f>"00937020"</f>
        <v>00937020</v>
      </c>
      <c r="B2163" t="s">
        <v>1699</v>
      </c>
      <c r="C2163" t="s">
        <v>308</v>
      </c>
      <c r="D2163" t="s">
        <v>21</v>
      </c>
      <c r="E2163" t="s">
        <v>26</v>
      </c>
      <c r="F2163" t="s">
        <v>17</v>
      </c>
      <c r="G2163" t="str">
        <f>"03"</f>
        <v>03</v>
      </c>
      <c r="H2163" t="str">
        <f>"0  "</f>
        <v xml:space="preserve">0  </v>
      </c>
      <c r="I2163" t="str">
        <f>"2020/09/15"</f>
        <v>2020/09/15</v>
      </c>
      <c r="J2163" t="str">
        <f>"410"</f>
        <v>410</v>
      </c>
      <c r="K2163" t="s">
        <v>18</v>
      </c>
      <c r="L2163" t="s">
        <v>18</v>
      </c>
      <c r="M2163" t="s">
        <v>18</v>
      </c>
    </row>
    <row r="2164" spans="1:13" x14ac:dyDescent="0.25">
      <c r="A2164" t="str">
        <f>"00769124"</f>
        <v>00769124</v>
      </c>
      <c r="B2164" t="s">
        <v>1699</v>
      </c>
      <c r="C2164" t="s">
        <v>1296</v>
      </c>
      <c r="D2164" t="s">
        <v>25</v>
      </c>
      <c r="E2164" t="s">
        <v>26</v>
      </c>
      <c r="F2164" t="s">
        <v>17</v>
      </c>
      <c r="G2164" t="str">
        <f>"03"</f>
        <v>03</v>
      </c>
      <c r="H2164" t="str">
        <f>"3  "</f>
        <v xml:space="preserve">3  </v>
      </c>
      <c r="I2164" t="str">
        <f>"2015/09/15"</f>
        <v>2015/09/15</v>
      </c>
      <c r="J2164" t="str">
        <f>"110"</f>
        <v>110</v>
      </c>
      <c r="K2164" t="str">
        <f>"20590913"</f>
        <v>20590913</v>
      </c>
      <c r="L2164" t="s">
        <v>18</v>
      </c>
      <c r="M2164" t="str">
        <f>"20140605"</f>
        <v>20140605</v>
      </c>
    </row>
    <row r="2165" spans="1:13" x14ac:dyDescent="0.25">
      <c r="A2165" t="str">
        <f>"00266417"</f>
        <v>00266417</v>
      </c>
      <c r="B2165" t="s">
        <v>1707</v>
      </c>
      <c r="C2165" t="s">
        <v>1708</v>
      </c>
      <c r="D2165" t="s">
        <v>97</v>
      </c>
      <c r="E2165" t="s">
        <v>16</v>
      </c>
      <c r="F2165" t="s">
        <v>17</v>
      </c>
      <c r="G2165" t="str">
        <f>"03"</f>
        <v>03</v>
      </c>
      <c r="H2165" t="str">
        <f>"3  "</f>
        <v xml:space="preserve">3  </v>
      </c>
      <c r="I2165" t="str">
        <f>"2020/04/07"</f>
        <v>2020/04/07</v>
      </c>
      <c r="J2165" t="str">
        <f>"120"</f>
        <v>120</v>
      </c>
      <c r="K2165" t="str">
        <f>"20350305"</f>
        <v>20350305</v>
      </c>
      <c r="L2165" t="s">
        <v>18</v>
      </c>
      <c r="M2165" t="str">
        <f>"19990226"</f>
        <v>19990226</v>
      </c>
    </row>
    <row r="2166" spans="1:13" x14ac:dyDescent="0.25">
      <c r="A2166" t="str">
        <f>"00382870"</f>
        <v>00382870</v>
      </c>
      <c r="B2166" t="s">
        <v>1714</v>
      </c>
      <c r="C2166" t="s">
        <v>48</v>
      </c>
      <c r="D2166" t="s">
        <v>73</v>
      </c>
      <c r="E2166" t="s">
        <v>16</v>
      </c>
      <c r="F2166" t="s">
        <v>17</v>
      </c>
      <c r="G2166" t="str">
        <f>"03"</f>
        <v>03</v>
      </c>
      <c r="H2166" t="str">
        <f>"0  "</f>
        <v xml:space="preserve">0  </v>
      </c>
      <c r="I2166" t="str">
        <f>"2020/08/12"</f>
        <v>2020/08/12</v>
      </c>
      <c r="J2166" t="str">
        <f>"410"</f>
        <v>410</v>
      </c>
      <c r="K2166" t="s">
        <v>18</v>
      </c>
      <c r="L2166" t="s">
        <v>18</v>
      </c>
      <c r="M2166" t="s">
        <v>18</v>
      </c>
    </row>
    <row r="2167" spans="1:13" x14ac:dyDescent="0.25">
      <c r="A2167" t="str">
        <f>"00111779"</f>
        <v>00111779</v>
      </c>
      <c r="B2167" t="s">
        <v>1714</v>
      </c>
      <c r="C2167" t="s">
        <v>48</v>
      </c>
      <c r="D2167" t="s">
        <v>73</v>
      </c>
      <c r="E2167" t="s">
        <v>16</v>
      </c>
      <c r="F2167" t="s">
        <v>17</v>
      </c>
      <c r="G2167" t="str">
        <f>"03"</f>
        <v>03</v>
      </c>
      <c r="H2167" t="str">
        <f>"0  "</f>
        <v xml:space="preserve">0  </v>
      </c>
      <c r="I2167" t="str">
        <f>"2020/09/15"</f>
        <v>2020/09/15</v>
      </c>
      <c r="J2167" t="str">
        <f>"502"</f>
        <v>502</v>
      </c>
      <c r="K2167" t="s">
        <v>18</v>
      </c>
      <c r="L2167" t="s">
        <v>18</v>
      </c>
      <c r="M2167" t="s">
        <v>18</v>
      </c>
    </row>
    <row r="2168" spans="1:13" x14ac:dyDescent="0.25">
      <c r="A2168" t="str">
        <f>"00751296"</f>
        <v>00751296</v>
      </c>
      <c r="B2168" t="s">
        <v>1717</v>
      </c>
      <c r="C2168" t="s">
        <v>1718</v>
      </c>
      <c r="D2168" t="s">
        <v>15</v>
      </c>
      <c r="E2168" t="s">
        <v>26</v>
      </c>
      <c r="F2168" t="s">
        <v>17</v>
      </c>
      <c r="G2168" t="str">
        <f>"03"</f>
        <v>03</v>
      </c>
      <c r="H2168" t="str">
        <f>"3  "</f>
        <v xml:space="preserve">3  </v>
      </c>
      <c r="I2168" t="str">
        <f>"2019/02/13"</f>
        <v>2019/02/13</v>
      </c>
      <c r="J2168" t="str">
        <f>"510"</f>
        <v>510</v>
      </c>
      <c r="K2168" t="str">
        <f>"20220403"</f>
        <v>20220403</v>
      </c>
      <c r="L2168" t="s">
        <v>18</v>
      </c>
      <c r="M2168" t="str">
        <f>"20171018"</f>
        <v>20171018</v>
      </c>
    </row>
    <row r="2169" spans="1:13" x14ac:dyDescent="0.25">
      <c r="A2169" t="str">
        <f>"00642347"</f>
        <v>00642347</v>
      </c>
      <c r="B2169" t="s">
        <v>1721</v>
      </c>
      <c r="C2169" t="s">
        <v>1722</v>
      </c>
      <c r="D2169" t="s">
        <v>26</v>
      </c>
      <c r="E2169" t="s">
        <v>16</v>
      </c>
      <c r="F2169" t="s">
        <v>17</v>
      </c>
      <c r="G2169" t="str">
        <f>"03"</f>
        <v>03</v>
      </c>
      <c r="H2169" t="str">
        <f>"3  "</f>
        <v xml:space="preserve">3  </v>
      </c>
      <c r="I2169" t="str">
        <f>"2020/01/27"</f>
        <v>2020/01/27</v>
      </c>
      <c r="J2169" t="str">
        <f>"110"</f>
        <v>110</v>
      </c>
      <c r="K2169" t="str">
        <f>"20231008"</f>
        <v>20231008</v>
      </c>
      <c r="L2169" t="s">
        <v>18</v>
      </c>
      <c r="M2169" t="str">
        <f>"20200127"</f>
        <v>20200127</v>
      </c>
    </row>
    <row r="2170" spans="1:13" x14ac:dyDescent="0.25">
      <c r="A2170" t="str">
        <f>"00607931"</f>
        <v>00607931</v>
      </c>
      <c r="B2170" t="s">
        <v>1721</v>
      </c>
      <c r="C2170" t="s">
        <v>1723</v>
      </c>
      <c r="D2170" t="s">
        <v>15</v>
      </c>
      <c r="E2170" t="s">
        <v>26</v>
      </c>
      <c r="F2170" t="s">
        <v>17</v>
      </c>
      <c r="G2170" t="str">
        <f>"03"</f>
        <v>03</v>
      </c>
      <c r="H2170" t="str">
        <f>"3  "</f>
        <v xml:space="preserve">3  </v>
      </c>
      <c r="I2170" t="str">
        <f>"2020/05/22"</f>
        <v>2020/05/22</v>
      </c>
      <c r="J2170" t="str">
        <f>"110"</f>
        <v>110</v>
      </c>
      <c r="K2170" t="str">
        <f>"20210403"</f>
        <v>20210403</v>
      </c>
      <c r="L2170" t="s">
        <v>18</v>
      </c>
      <c r="M2170" t="str">
        <f>"20200212"</f>
        <v>20200212</v>
      </c>
    </row>
    <row r="2171" spans="1:13" x14ac:dyDescent="0.25">
      <c r="A2171" t="str">
        <f>"00514202"</f>
        <v>00514202</v>
      </c>
      <c r="B2171" t="s">
        <v>1725</v>
      </c>
      <c r="C2171" t="s">
        <v>20</v>
      </c>
      <c r="D2171" t="s">
        <v>80</v>
      </c>
      <c r="E2171" t="s">
        <v>16</v>
      </c>
      <c r="F2171" t="s">
        <v>17</v>
      </c>
      <c r="G2171" t="str">
        <f>"03"</f>
        <v>03</v>
      </c>
      <c r="H2171" t="str">
        <f>"3  "</f>
        <v xml:space="preserve">3  </v>
      </c>
      <c r="I2171" t="str">
        <f>"2019/03/17"</f>
        <v>2019/03/17</v>
      </c>
      <c r="J2171" t="str">
        <f>"120"</f>
        <v>120</v>
      </c>
      <c r="K2171" t="str">
        <f>"20201113"</f>
        <v>20201113</v>
      </c>
      <c r="L2171" t="s">
        <v>18</v>
      </c>
      <c r="M2171" t="str">
        <f>"20190222"</f>
        <v>20190222</v>
      </c>
    </row>
    <row r="2172" spans="1:13" x14ac:dyDescent="0.25">
      <c r="A2172" t="str">
        <f>"00936941"</f>
        <v>00936941</v>
      </c>
      <c r="B2172" t="s">
        <v>1735</v>
      </c>
      <c r="C2172" t="s">
        <v>48</v>
      </c>
      <c r="D2172" t="s">
        <v>25</v>
      </c>
      <c r="E2172" t="s">
        <v>16</v>
      </c>
      <c r="F2172" t="s">
        <v>17</v>
      </c>
      <c r="G2172" t="str">
        <f>"03"</f>
        <v>03</v>
      </c>
      <c r="H2172" t="str">
        <f>"0  "</f>
        <v xml:space="preserve">0  </v>
      </c>
      <c r="I2172" t="str">
        <f>"2020/09/14"</f>
        <v>2020/09/14</v>
      </c>
      <c r="J2172" t="str">
        <f>"420"</f>
        <v>420</v>
      </c>
      <c r="K2172" t="s">
        <v>18</v>
      </c>
      <c r="L2172" t="s">
        <v>18</v>
      </c>
      <c r="M2172" t="s">
        <v>18</v>
      </c>
    </row>
    <row r="2173" spans="1:13" x14ac:dyDescent="0.25">
      <c r="A2173" t="str">
        <f>"00305587"</f>
        <v>00305587</v>
      </c>
      <c r="B2173" t="s">
        <v>1749</v>
      </c>
      <c r="C2173" t="s">
        <v>244</v>
      </c>
      <c r="D2173" t="s">
        <v>51</v>
      </c>
      <c r="E2173" t="s">
        <v>26</v>
      </c>
      <c r="F2173" t="s">
        <v>17</v>
      </c>
      <c r="G2173" t="str">
        <f>"03"</f>
        <v>03</v>
      </c>
      <c r="H2173" t="str">
        <f>"3  "</f>
        <v xml:space="preserve">3  </v>
      </c>
      <c r="I2173" t="str">
        <f>"2019/11/07"</f>
        <v>2019/11/07</v>
      </c>
      <c r="J2173" t="str">
        <f>"510"</f>
        <v>510</v>
      </c>
      <c r="K2173" t="str">
        <f>"20330209"</f>
        <v>20330209</v>
      </c>
      <c r="L2173" t="s">
        <v>18</v>
      </c>
      <c r="M2173" t="str">
        <f>"20101004"</f>
        <v>20101004</v>
      </c>
    </row>
    <row r="2174" spans="1:13" x14ac:dyDescent="0.25">
      <c r="A2174" t="str">
        <f>"00335893"</f>
        <v>00335893</v>
      </c>
      <c r="B2174" t="s">
        <v>1756</v>
      </c>
      <c r="C2174" t="s">
        <v>1757</v>
      </c>
      <c r="D2174" t="s">
        <v>40</v>
      </c>
      <c r="E2174" t="s">
        <v>26</v>
      </c>
      <c r="F2174" t="s">
        <v>17</v>
      </c>
      <c r="G2174" t="str">
        <f>"03"</f>
        <v>03</v>
      </c>
      <c r="H2174" t="str">
        <f>"3  "</f>
        <v xml:space="preserve">3  </v>
      </c>
      <c r="I2174" t="str">
        <f>"2014/12/05"</f>
        <v>2014/12/05</v>
      </c>
      <c r="J2174" t="str">
        <f>"110"</f>
        <v>110</v>
      </c>
      <c r="K2174" t="str">
        <f>"20220205"</f>
        <v>20220205</v>
      </c>
      <c r="L2174" t="s">
        <v>18</v>
      </c>
      <c r="M2174" t="str">
        <f>"20140110"</f>
        <v>20140110</v>
      </c>
    </row>
    <row r="2175" spans="1:13" x14ac:dyDescent="0.25">
      <c r="A2175" t="str">
        <f>"00754617"</f>
        <v>00754617</v>
      </c>
      <c r="B2175" t="s">
        <v>1762</v>
      </c>
      <c r="C2175" t="s">
        <v>702</v>
      </c>
      <c r="D2175" t="s">
        <v>25</v>
      </c>
      <c r="E2175" t="s">
        <v>26</v>
      </c>
      <c r="F2175" t="s">
        <v>17</v>
      </c>
      <c r="G2175" t="str">
        <f>"03"</f>
        <v>03</v>
      </c>
      <c r="H2175" t="str">
        <f>"0  "</f>
        <v xml:space="preserve">0  </v>
      </c>
      <c r="I2175" t="str">
        <f>"2020/08/20"</f>
        <v>2020/08/20</v>
      </c>
      <c r="J2175" t="str">
        <f>"410"</f>
        <v>410</v>
      </c>
      <c r="K2175" t="s">
        <v>18</v>
      </c>
      <c r="L2175" t="s">
        <v>18</v>
      </c>
      <c r="M2175" t="s">
        <v>18</v>
      </c>
    </row>
    <row r="2176" spans="1:13" x14ac:dyDescent="0.25">
      <c r="A2176" t="str">
        <f>"00739653"</f>
        <v>00739653</v>
      </c>
      <c r="B2176" t="s">
        <v>1768</v>
      </c>
      <c r="C2176" t="s">
        <v>1769</v>
      </c>
      <c r="D2176" t="s">
        <v>25</v>
      </c>
      <c r="E2176" t="s">
        <v>26</v>
      </c>
      <c r="F2176" t="s">
        <v>17</v>
      </c>
      <c r="G2176" t="str">
        <f>"03"</f>
        <v>03</v>
      </c>
      <c r="H2176" t="str">
        <f>"3  "</f>
        <v xml:space="preserve">3  </v>
      </c>
      <c r="I2176" t="str">
        <f>"2020/09/03"</f>
        <v>2020/09/03</v>
      </c>
      <c r="J2176" t="str">
        <f>"502"</f>
        <v>502</v>
      </c>
      <c r="K2176" t="str">
        <f>"20220811"</f>
        <v>20220811</v>
      </c>
      <c r="L2176" t="s">
        <v>18</v>
      </c>
      <c r="M2176" t="str">
        <f>"20180227"</f>
        <v>20180227</v>
      </c>
    </row>
    <row r="2177" spans="1:13" x14ac:dyDescent="0.25">
      <c r="A2177" t="str">
        <f>"00204986"</f>
        <v>00204986</v>
      </c>
      <c r="B2177" t="s">
        <v>1768</v>
      </c>
      <c r="C2177" t="s">
        <v>313</v>
      </c>
      <c r="D2177" t="s">
        <v>45</v>
      </c>
      <c r="E2177" t="s">
        <v>26</v>
      </c>
      <c r="F2177" t="s">
        <v>17</v>
      </c>
      <c r="G2177" t="str">
        <f>"03"</f>
        <v>03</v>
      </c>
      <c r="H2177" t="str">
        <f>"3  "</f>
        <v xml:space="preserve">3  </v>
      </c>
      <c r="I2177" t="str">
        <f>"2020/03/10"</f>
        <v>2020/03/10</v>
      </c>
      <c r="J2177" t="str">
        <f>"110"</f>
        <v>110</v>
      </c>
      <c r="K2177" t="str">
        <f>"20210213"</f>
        <v>20210213</v>
      </c>
      <c r="L2177" t="s">
        <v>18</v>
      </c>
      <c r="M2177" t="str">
        <f>"20191007"</f>
        <v>20191007</v>
      </c>
    </row>
    <row r="2178" spans="1:13" x14ac:dyDescent="0.25">
      <c r="A2178" t="str">
        <f>"00514012"</f>
        <v>00514012</v>
      </c>
      <c r="B2178" t="s">
        <v>1768</v>
      </c>
      <c r="C2178" t="s">
        <v>385</v>
      </c>
      <c r="D2178" t="s">
        <v>31</v>
      </c>
      <c r="E2178" t="s">
        <v>16</v>
      </c>
      <c r="F2178" t="s">
        <v>17</v>
      </c>
      <c r="G2178" t="str">
        <f>"03"</f>
        <v>03</v>
      </c>
      <c r="H2178" t="str">
        <f>"3  "</f>
        <v xml:space="preserve">3  </v>
      </c>
      <c r="I2178" t="str">
        <f>"2020/08/26"</f>
        <v>2020/08/26</v>
      </c>
      <c r="J2178" t="str">
        <f>"502"</f>
        <v>502</v>
      </c>
      <c r="K2178" t="str">
        <f>"20241023"</f>
        <v>20241023</v>
      </c>
      <c r="L2178" t="s">
        <v>18</v>
      </c>
      <c r="M2178" t="str">
        <f>"20160128"</f>
        <v>20160128</v>
      </c>
    </row>
    <row r="2179" spans="1:13" x14ac:dyDescent="0.25">
      <c r="A2179" t="str">
        <f>"00694162"</f>
        <v>00694162</v>
      </c>
      <c r="B2179" t="s">
        <v>1768</v>
      </c>
      <c r="C2179" t="s">
        <v>1774</v>
      </c>
      <c r="D2179" t="s">
        <v>40</v>
      </c>
      <c r="E2179" t="s">
        <v>26</v>
      </c>
      <c r="F2179" t="s">
        <v>17</v>
      </c>
      <c r="G2179" t="str">
        <f>"03"</f>
        <v>03</v>
      </c>
      <c r="H2179" t="str">
        <f>"1  "</f>
        <v xml:space="preserve">1  </v>
      </c>
      <c r="I2179" t="str">
        <f>"2020/09/22"</f>
        <v>2020/09/22</v>
      </c>
      <c r="J2179" t="str">
        <f>"110"</f>
        <v>110</v>
      </c>
      <c r="K2179" t="str">
        <f>"20210921"</f>
        <v>20210921</v>
      </c>
      <c r="L2179" t="s">
        <v>18</v>
      </c>
      <c r="M2179" t="str">
        <f>"20200922"</f>
        <v>20200922</v>
      </c>
    </row>
    <row r="2180" spans="1:13" x14ac:dyDescent="0.25">
      <c r="A2180" t="str">
        <f>"00524862"</f>
        <v>00524862</v>
      </c>
      <c r="B2180" t="s">
        <v>1779</v>
      </c>
      <c r="C2180" t="s">
        <v>136</v>
      </c>
      <c r="D2180" t="s">
        <v>456</v>
      </c>
      <c r="E2180" t="s">
        <v>16</v>
      </c>
      <c r="F2180" t="s">
        <v>17</v>
      </c>
      <c r="G2180" t="str">
        <f>"03"</f>
        <v>03</v>
      </c>
      <c r="H2180" t="str">
        <f>"3  "</f>
        <v xml:space="preserve">3  </v>
      </c>
      <c r="I2180" t="str">
        <f>"2020/09/04"</f>
        <v>2020/09/04</v>
      </c>
      <c r="J2180" t="str">
        <f>"502"</f>
        <v>502</v>
      </c>
      <c r="K2180" t="str">
        <f>"20320704"</f>
        <v>20320704</v>
      </c>
      <c r="L2180" t="s">
        <v>18</v>
      </c>
      <c r="M2180" t="str">
        <f>"20060606"</f>
        <v>20060606</v>
      </c>
    </row>
    <row r="2181" spans="1:13" x14ac:dyDescent="0.25">
      <c r="A2181" t="str">
        <f>"00190673"</f>
        <v>00190673</v>
      </c>
      <c r="B2181" t="s">
        <v>1785</v>
      </c>
      <c r="C2181" t="s">
        <v>96</v>
      </c>
      <c r="D2181" t="s">
        <v>45</v>
      </c>
      <c r="E2181" t="s">
        <v>16</v>
      </c>
      <c r="F2181" t="s">
        <v>17</v>
      </c>
      <c r="G2181" t="str">
        <f>"03"</f>
        <v>03</v>
      </c>
      <c r="H2181" t="str">
        <f>"3  "</f>
        <v xml:space="preserve">3  </v>
      </c>
      <c r="I2181" t="str">
        <f>"2018/01/24"</f>
        <v>2018/01/24</v>
      </c>
      <c r="J2181" t="str">
        <f>"110"</f>
        <v>110</v>
      </c>
      <c r="K2181" t="str">
        <f>"20310122"</f>
        <v>20310122</v>
      </c>
      <c r="L2181" t="s">
        <v>18</v>
      </c>
      <c r="M2181" t="str">
        <f>"20171107"</f>
        <v>20171107</v>
      </c>
    </row>
    <row r="2182" spans="1:13" x14ac:dyDescent="0.25">
      <c r="A2182" t="str">
        <f>"00597786"</f>
        <v>00597786</v>
      </c>
      <c r="B2182" t="s">
        <v>1785</v>
      </c>
      <c r="C2182" t="s">
        <v>1787</v>
      </c>
      <c r="D2182" t="s">
        <v>51</v>
      </c>
      <c r="E2182" t="s">
        <v>26</v>
      </c>
      <c r="F2182" t="s">
        <v>17</v>
      </c>
      <c r="G2182" t="str">
        <f>"03"</f>
        <v>03</v>
      </c>
      <c r="H2182" t="str">
        <f>"3  "</f>
        <v xml:space="preserve">3  </v>
      </c>
      <c r="I2182" t="str">
        <f>"2019/10/10"</f>
        <v>2019/10/10</v>
      </c>
      <c r="J2182" t="str">
        <f>"110"</f>
        <v>110</v>
      </c>
      <c r="K2182" t="str">
        <f>"20240407"</f>
        <v>20240407</v>
      </c>
      <c r="L2182" t="s">
        <v>18</v>
      </c>
      <c r="M2182" t="str">
        <f>"20190930"</f>
        <v>20190930</v>
      </c>
    </row>
    <row r="2183" spans="1:13" x14ac:dyDescent="0.25">
      <c r="A2183" t="str">
        <f>"00636550"</f>
        <v>00636550</v>
      </c>
      <c r="B2183" t="s">
        <v>1796</v>
      </c>
      <c r="C2183" t="s">
        <v>72</v>
      </c>
      <c r="D2183" t="s">
        <v>21</v>
      </c>
      <c r="E2183" t="s">
        <v>26</v>
      </c>
      <c r="F2183" t="s">
        <v>17</v>
      </c>
      <c r="G2183" t="str">
        <f>"03"</f>
        <v>03</v>
      </c>
      <c r="H2183" t="str">
        <f>"3  "</f>
        <v xml:space="preserve">3  </v>
      </c>
      <c r="I2183" t="str">
        <f>"2019/08/30"</f>
        <v>2019/08/30</v>
      </c>
      <c r="J2183" t="str">
        <f>"120"</f>
        <v>120</v>
      </c>
      <c r="K2183" t="str">
        <f>"20210313"</f>
        <v>20210313</v>
      </c>
      <c r="L2183" t="s">
        <v>18</v>
      </c>
      <c r="M2183" t="str">
        <f>"20190830"</f>
        <v>20190830</v>
      </c>
    </row>
    <row r="2184" spans="1:13" x14ac:dyDescent="0.25">
      <c r="A2184" t="str">
        <f>"00534807"</f>
        <v>00534807</v>
      </c>
      <c r="B2184" t="s">
        <v>1805</v>
      </c>
      <c r="C2184" t="s">
        <v>1806</v>
      </c>
      <c r="D2184" t="s">
        <v>53</v>
      </c>
      <c r="E2184" t="s">
        <v>26</v>
      </c>
      <c r="F2184" t="s">
        <v>17</v>
      </c>
      <c r="G2184" t="str">
        <f>"03"</f>
        <v>03</v>
      </c>
      <c r="H2184" t="str">
        <f>"0  "</f>
        <v xml:space="preserve">0  </v>
      </c>
      <c r="I2184" t="str">
        <f>"2019/08/06"</f>
        <v>2019/08/06</v>
      </c>
      <c r="J2184" t="str">
        <f>"410"</f>
        <v>410</v>
      </c>
      <c r="K2184" t="s">
        <v>18</v>
      </c>
      <c r="L2184" t="s">
        <v>18</v>
      </c>
      <c r="M2184" t="s">
        <v>18</v>
      </c>
    </row>
    <row r="2185" spans="1:13" x14ac:dyDescent="0.25">
      <c r="A2185" t="str">
        <f>"00689211"</f>
        <v>00689211</v>
      </c>
      <c r="B2185" t="s">
        <v>1805</v>
      </c>
      <c r="C2185" t="s">
        <v>1807</v>
      </c>
      <c r="D2185" t="s">
        <v>97</v>
      </c>
      <c r="E2185" t="s">
        <v>26</v>
      </c>
      <c r="F2185" t="s">
        <v>17</v>
      </c>
      <c r="G2185" t="str">
        <f>"03"</f>
        <v>03</v>
      </c>
      <c r="H2185" t="str">
        <f>"0  "</f>
        <v xml:space="preserve">0  </v>
      </c>
      <c r="I2185" t="str">
        <f>"2020/09/09"</f>
        <v>2020/09/09</v>
      </c>
      <c r="J2185" t="str">
        <f>"410"</f>
        <v>410</v>
      </c>
      <c r="K2185" t="s">
        <v>18</v>
      </c>
      <c r="L2185" t="s">
        <v>18</v>
      </c>
      <c r="M2185" t="s">
        <v>18</v>
      </c>
    </row>
    <row r="2186" spans="1:13" x14ac:dyDescent="0.25">
      <c r="A2186" t="str">
        <f>"00639937"</f>
        <v>00639937</v>
      </c>
      <c r="B2186" t="s">
        <v>1805</v>
      </c>
      <c r="C2186" t="s">
        <v>1808</v>
      </c>
      <c r="D2186" t="s">
        <v>25</v>
      </c>
      <c r="E2186" t="s">
        <v>26</v>
      </c>
      <c r="F2186" t="s">
        <v>17</v>
      </c>
      <c r="G2186" t="str">
        <f>"03"</f>
        <v>03</v>
      </c>
      <c r="H2186" t="str">
        <f>"3  "</f>
        <v xml:space="preserve">3  </v>
      </c>
      <c r="I2186" t="str">
        <f>"2019/07/30"</f>
        <v>2019/07/30</v>
      </c>
      <c r="J2186" t="str">
        <f>"110"</f>
        <v>110</v>
      </c>
      <c r="K2186" t="str">
        <f>"20220317"</f>
        <v>20220317</v>
      </c>
      <c r="L2186" t="s">
        <v>18</v>
      </c>
      <c r="M2186" t="str">
        <f>"20190630"</f>
        <v>20190630</v>
      </c>
    </row>
    <row r="2187" spans="1:13" x14ac:dyDescent="0.25">
      <c r="A2187" t="str">
        <f>"00387088"</f>
        <v>00387088</v>
      </c>
      <c r="B2187" t="s">
        <v>1810</v>
      </c>
      <c r="C2187" t="s">
        <v>1781</v>
      </c>
      <c r="D2187" t="s">
        <v>80</v>
      </c>
      <c r="E2187" t="s">
        <v>16</v>
      </c>
      <c r="F2187" t="s">
        <v>17</v>
      </c>
      <c r="G2187" t="str">
        <f>"03"</f>
        <v>03</v>
      </c>
      <c r="H2187" t="str">
        <f>"0  "</f>
        <v xml:space="preserve">0  </v>
      </c>
      <c r="I2187" t="str">
        <f>"2020/02/14"</f>
        <v>2020/02/14</v>
      </c>
      <c r="J2187" t="str">
        <f>"410"</f>
        <v>410</v>
      </c>
      <c r="K2187" t="s">
        <v>18</v>
      </c>
      <c r="L2187" t="s">
        <v>18</v>
      </c>
      <c r="M2187" t="s">
        <v>18</v>
      </c>
    </row>
    <row r="2188" spans="1:13" x14ac:dyDescent="0.25">
      <c r="A2188" t="str">
        <f>"00491195"</f>
        <v>00491195</v>
      </c>
      <c r="B2188" t="s">
        <v>1824</v>
      </c>
      <c r="C2188" t="s">
        <v>1780</v>
      </c>
      <c r="D2188" t="s">
        <v>53</v>
      </c>
      <c r="E2188" t="s">
        <v>26</v>
      </c>
      <c r="F2188" t="s">
        <v>17</v>
      </c>
      <c r="G2188" t="str">
        <f>"03"</f>
        <v>03</v>
      </c>
      <c r="H2188" t="str">
        <f>"3  "</f>
        <v xml:space="preserve">3  </v>
      </c>
      <c r="I2188" t="str">
        <f>"2020/09/01"</f>
        <v>2020/09/01</v>
      </c>
      <c r="J2188" t="str">
        <f>"502"</f>
        <v>502</v>
      </c>
      <c r="K2188" t="str">
        <f>"20340101"</f>
        <v>20340101</v>
      </c>
      <c r="L2188" t="s">
        <v>18</v>
      </c>
      <c r="M2188" t="str">
        <f>"20120524"</f>
        <v>20120524</v>
      </c>
    </row>
    <row r="2189" spans="1:13" x14ac:dyDescent="0.25">
      <c r="A2189" t="str">
        <f>"00643731"</f>
        <v>00643731</v>
      </c>
      <c r="B2189" t="s">
        <v>1824</v>
      </c>
      <c r="C2189" t="s">
        <v>1831</v>
      </c>
      <c r="D2189" t="s">
        <v>77</v>
      </c>
      <c r="E2189" t="s">
        <v>26</v>
      </c>
      <c r="F2189" t="s">
        <v>17</v>
      </c>
      <c r="G2189" t="str">
        <f>"03"</f>
        <v>03</v>
      </c>
      <c r="H2189" t="str">
        <f>"3  "</f>
        <v xml:space="preserve">3  </v>
      </c>
      <c r="I2189" t="str">
        <f>"2018/08/21"</f>
        <v>2018/08/21</v>
      </c>
      <c r="J2189" t="str">
        <f>"110"</f>
        <v>110</v>
      </c>
      <c r="K2189" t="str">
        <f>"20250410"</f>
        <v>20250410</v>
      </c>
      <c r="L2189" t="s">
        <v>18</v>
      </c>
      <c r="M2189" t="str">
        <f>"20160504"</f>
        <v>20160504</v>
      </c>
    </row>
    <row r="2190" spans="1:13" x14ac:dyDescent="0.25">
      <c r="A2190" t="str">
        <f>"00744379"</f>
        <v>00744379</v>
      </c>
      <c r="B2190" t="s">
        <v>1840</v>
      </c>
      <c r="C2190" t="s">
        <v>118</v>
      </c>
      <c r="D2190" t="s">
        <v>37</v>
      </c>
      <c r="E2190" t="s">
        <v>26</v>
      </c>
      <c r="F2190" t="s">
        <v>17</v>
      </c>
      <c r="G2190" t="str">
        <f>"03"</f>
        <v>03</v>
      </c>
      <c r="H2190" t="str">
        <f>"3  "</f>
        <v xml:space="preserve">3  </v>
      </c>
      <c r="I2190" t="str">
        <f>"2017/06/26"</f>
        <v>2017/06/26</v>
      </c>
      <c r="J2190" t="str">
        <f>"110"</f>
        <v>110</v>
      </c>
      <c r="K2190" t="str">
        <f>"20220206"</f>
        <v>20220206</v>
      </c>
      <c r="L2190" t="s">
        <v>18</v>
      </c>
      <c r="M2190" t="str">
        <f>"20140620"</f>
        <v>20140620</v>
      </c>
    </row>
    <row r="2191" spans="1:13" x14ac:dyDescent="0.25">
      <c r="A2191" t="str">
        <f>"00616978"</f>
        <v>00616978</v>
      </c>
      <c r="B2191" t="s">
        <v>1840</v>
      </c>
      <c r="C2191" t="s">
        <v>1841</v>
      </c>
      <c r="D2191" t="s">
        <v>21</v>
      </c>
      <c r="E2191" t="s">
        <v>26</v>
      </c>
      <c r="F2191" t="s">
        <v>17</v>
      </c>
      <c r="G2191" t="str">
        <f>"03"</f>
        <v>03</v>
      </c>
      <c r="H2191" t="str">
        <f>"3  "</f>
        <v xml:space="preserve">3  </v>
      </c>
      <c r="I2191" t="str">
        <f>"2020/09/09"</f>
        <v>2020/09/09</v>
      </c>
      <c r="J2191" t="str">
        <f>"502"</f>
        <v>502</v>
      </c>
      <c r="K2191" t="str">
        <f>"20300113"</f>
        <v>20300113</v>
      </c>
      <c r="L2191" t="s">
        <v>18</v>
      </c>
      <c r="M2191" t="str">
        <f>"20140509"</f>
        <v>20140509</v>
      </c>
    </row>
    <row r="2192" spans="1:13" x14ac:dyDescent="0.25">
      <c r="A2192" t="str">
        <f>"00188764"</f>
        <v>00188764</v>
      </c>
      <c r="B2192" t="s">
        <v>1840</v>
      </c>
      <c r="C2192" t="s">
        <v>136</v>
      </c>
      <c r="D2192" t="s">
        <v>51</v>
      </c>
      <c r="E2192" t="s">
        <v>26</v>
      </c>
      <c r="F2192" t="s">
        <v>17</v>
      </c>
      <c r="G2192" t="str">
        <f>"03"</f>
        <v>03</v>
      </c>
      <c r="H2192" t="str">
        <f>"3  "</f>
        <v xml:space="preserve">3  </v>
      </c>
      <c r="I2192" t="str">
        <f>"2017/06/09"</f>
        <v>2017/06/09</v>
      </c>
      <c r="J2192" t="str">
        <f>"110"</f>
        <v>110</v>
      </c>
      <c r="K2192" t="str">
        <f>"20210915"</f>
        <v>20210915</v>
      </c>
      <c r="L2192" t="s">
        <v>18</v>
      </c>
      <c r="M2192" t="str">
        <f>"20170411"</f>
        <v>20170411</v>
      </c>
    </row>
    <row r="2193" spans="1:13" x14ac:dyDescent="0.25">
      <c r="A2193" t="str">
        <f>"00325110"</f>
        <v>00325110</v>
      </c>
      <c r="B2193" t="s">
        <v>1840</v>
      </c>
      <c r="C2193" t="s">
        <v>1844</v>
      </c>
      <c r="D2193" t="s">
        <v>45</v>
      </c>
      <c r="E2193" t="s">
        <v>26</v>
      </c>
      <c r="F2193" t="s">
        <v>17</v>
      </c>
      <c r="G2193" t="str">
        <f>"03"</f>
        <v>03</v>
      </c>
      <c r="H2193" t="str">
        <f>"0  "</f>
        <v xml:space="preserve">0  </v>
      </c>
      <c r="I2193" t="str">
        <f>"2020/01/09"</f>
        <v>2020/01/09</v>
      </c>
      <c r="J2193" t="str">
        <f>"410"</f>
        <v>410</v>
      </c>
      <c r="K2193" t="s">
        <v>18</v>
      </c>
      <c r="L2193" t="s">
        <v>18</v>
      </c>
      <c r="M2193" t="s">
        <v>18</v>
      </c>
    </row>
    <row r="2194" spans="1:13" x14ac:dyDescent="0.25">
      <c r="A2194" t="str">
        <f>"00249193"</f>
        <v>00249193</v>
      </c>
      <c r="B2194" t="s">
        <v>1840</v>
      </c>
      <c r="C2194" t="s">
        <v>1844</v>
      </c>
      <c r="D2194" t="s">
        <v>61</v>
      </c>
      <c r="E2194" t="s">
        <v>26</v>
      </c>
      <c r="F2194" t="s">
        <v>17</v>
      </c>
      <c r="G2194" t="str">
        <f>"03"</f>
        <v>03</v>
      </c>
      <c r="H2194" t="str">
        <f>"1  "</f>
        <v xml:space="preserve">1  </v>
      </c>
      <c r="I2194" t="str">
        <f>"2020/05/27"</f>
        <v>2020/05/27</v>
      </c>
      <c r="J2194" t="str">
        <f>"120"</f>
        <v>120</v>
      </c>
      <c r="K2194" t="str">
        <f>"20201101"</f>
        <v>20201101</v>
      </c>
      <c r="L2194" t="s">
        <v>18</v>
      </c>
      <c r="M2194" t="str">
        <f>"20200514"</f>
        <v>20200514</v>
      </c>
    </row>
    <row r="2195" spans="1:13" x14ac:dyDescent="0.25">
      <c r="A2195" t="str">
        <f>"00313423"</f>
        <v>00313423</v>
      </c>
      <c r="B2195" t="s">
        <v>1840</v>
      </c>
      <c r="C2195" t="s">
        <v>1849</v>
      </c>
      <c r="D2195" t="s">
        <v>15</v>
      </c>
      <c r="E2195" t="s">
        <v>26</v>
      </c>
      <c r="F2195" t="s">
        <v>17</v>
      </c>
      <c r="G2195" t="str">
        <f>"03"</f>
        <v>03</v>
      </c>
      <c r="H2195" t="str">
        <f>"1  "</f>
        <v xml:space="preserve">1  </v>
      </c>
      <c r="I2195" t="str">
        <f>"2020/03/02"</f>
        <v>2020/03/02</v>
      </c>
      <c r="J2195" t="str">
        <f>"512"</f>
        <v>512</v>
      </c>
      <c r="K2195" t="str">
        <f>"20210122"</f>
        <v>20210122</v>
      </c>
      <c r="L2195" t="s">
        <v>18</v>
      </c>
      <c r="M2195" t="str">
        <f>"20200217"</f>
        <v>20200217</v>
      </c>
    </row>
    <row r="2196" spans="1:13" x14ac:dyDescent="0.25">
      <c r="A2196" t="str">
        <f>"00591495"</f>
        <v>00591495</v>
      </c>
      <c r="B2196" t="s">
        <v>1840</v>
      </c>
      <c r="C2196" t="s">
        <v>650</v>
      </c>
      <c r="D2196" t="s">
        <v>80</v>
      </c>
      <c r="E2196" t="s">
        <v>26</v>
      </c>
      <c r="F2196" t="s">
        <v>17</v>
      </c>
      <c r="G2196" t="str">
        <f>"03"</f>
        <v>03</v>
      </c>
      <c r="H2196" t="str">
        <f>"3  "</f>
        <v xml:space="preserve">3  </v>
      </c>
      <c r="I2196" t="str">
        <f>"2019/08/29"</f>
        <v>2019/08/29</v>
      </c>
      <c r="J2196" t="str">
        <f>"110"</f>
        <v>110</v>
      </c>
      <c r="K2196" t="str">
        <f>"20270802"</f>
        <v>20270802</v>
      </c>
      <c r="L2196" t="s">
        <v>18</v>
      </c>
      <c r="M2196" t="str">
        <f>"20181002"</f>
        <v>20181002</v>
      </c>
    </row>
    <row r="2197" spans="1:13" x14ac:dyDescent="0.25">
      <c r="A2197" t="str">
        <f>"00291628"</f>
        <v>00291628</v>
      </c>
      <c r="B2197" t="s">
        <v>1840</v>
      </c>
      <c r="C2197" t="s">
        <v>74</v>
      </c>
      <c r="D2197" t="s">
        <v>21</v>
      </c>
      <c r="E2197" t="s">
        <v>26</v>
      </c>
      <c r="F2197" t="s">
        <v>17</v>
      </c>
      <c r="G2197" t="str">
        <f>"03"</f>
        <v>03</v>
      </c>
      <c r="H2197" t="str">
        <f>"0  "</f>
        <v xml:space="preserve">0  </v>
      </c>
      <c r="I2197" t="str">
        <f>"2020/02/12"</f>
        <v>2020/02/12</v>
      </c>
      <c r="J2197" t="str">
        <f>"410"</f>
        <v>410</v>
      </c>
      <c r="K2197" t="s">
        <v>18</v>
      </c>
      <c r="L2197" t="s">
        <v>18</v>
      </c>
      <c r="M2197" t="s">
        <v>18</v>
      </c>
    </row>
    <row r="2198" spans="1:13" x14ac:dyDescent="0.25">
      <c r="A2198" t="str">
        <f>"00699834"</f>
        <v>00699834</v>
      </c>
      <c r="B2198" t="s">
        <v>1857</v>
      </c>
      <c r="C2198" t="s">
        <v>233</v>
      </c>
      <c r="D2198" t="s">
        <v>51</v>
      </c>
      <c r="E2198" t="s">
        <v>26</v>
      </c>
      <c r="F2198" t="s">
        <v>17</v>
      </c>
      <c r="G2198" t="str">
        <f>"03"</f>
        <v>03</v>
      </c>
      <c r="H2198" t="str">
        <f>"0  "</f>
        <v xml:space="preserve">0  </v>
      </c>
      <c r="I2198" t="str">
        <f>"2020/09/05"</f>
        <v>2020/09/05</v>
      </c>
      <c r="J2198" t="str">
        <f>"420"</f>
        <v>420</v>
      </c>
      <c r="K2198" t="s">
        <v>18</v>
      </c>
      <c r="L2198" t="s">
        <v>18</v>
      </c>
      <c r="M2198" t="s">
        <v>18</v>
      </c>
    </row>
    <row r="2199" spans="1:13" x14ac:dyDescent="0.25">
      <c r="A2199" t="str">
        <f>"00231787"</f>
        <v>00231787</v>
      </c>
      <c r="B2199" t="s">
        <v>1860</v>
      </c>
      <c r="C2199" t="s">
        <v>169</v>
      </c>
      <c r="D2199" t="s">
        <v>45</v>
      </c>
      <c r="E2199" t="s">
        <v>16</v>
      </c>
      <c r="F2199" t="s">
        <v>17</v>
      </c>
      <c r="G2199" t="str">
        <f>"03"</f>
        <v>03</v>
      </c>
      <c r="H2199" t="str">
        <f>"3  "</f>
        <v xml:space="preserve">3  </v>
      </c>
      <c r="I2199" t="str">
        <f>"2007/08/21"</f>
        <v>2007/08/21</v>
      </c>
      <c r="J2199" t="str">
        <f>"110"</f>
        <v>110</v>
      </c>
      <c r="K2199" t="str">
        <f>"20460707"</f>
        <v>20460707</v>
      </c>
      <c r="L2199" t="s">
        <v>18</v>
      </c>
      <c r="M2199" t="str">
        <f>"20050807"</f>
        <v>20050807</v>
      </c>
    </row>
    <row r="2200" spans="1:13" x14ac:dyDescent="0.25">
      <c r="A2200" t="str">
        <f>"00200331"</f>
        <v>00200331</v>
      </c>
      <c r="B2200" t="s">
        <v>1863</v>
      </c>
      <c r="C2200" t="s">
        <v>169</v>
      </c>
      <c r="D2200" t="s">
        <v>21</v>
      </c>
      <c r="E2200" t="s">
        <v>16</v>
      </c>
      <c r="F2200" t="s">
        <v>17</v>
      </c>
      <c r="G2200" t="str">
        <f>"03"</f>
        <v>03</v>
      </c>
      <c r="H2200" t="str">
        <f>"0  "</f>
        <v xml:space="preserve">0  </v>
      </c>
      <c r="I2200" t="str">
        <f>"2020/09/16"</f>
        <v>2020/09/16</v>
      </c>
      <c r="J2200" t="str">
        <f>"410"</f>
        <v>410</v>
      </c>
      <c r="K2200" t="s">
        <v>18</v>
      </c>
      <c r="L2200" t="s">
        <v>18</v>
      </c>
      <c r="M2200" t="s">
        <v>18</v>
      </c>
    </row>
    <row r="2201" spans="1:13" x14ac:dyDescent="0.25">
      <c r="A2201" t="str">
        <f>"00095039"</f>
        <v>00095039</v>
      </c>
      <c r="B2201" t="s">
        <v>1873</v>
      </c>
      <c r="C2201" t="s">
        <v>395</v>
      </c>
      <c r="D2201" t="s">
        <v>80</v>
      </c>
      <c r="E2201" t="s">
        <v>16</v>
      </c>
      <c r="F2201" t="s">
        <v>17</v>
      </c>
      <c r="G2201" t="str">
        <f>"03"</f>
        <v>03</v>
      </c>
      <c r="H2201" t="str">
        <f>"3  "</f>
        <v xml:space="preserve">3  </v>
      </c>
      <c r="I2201" t="str">
        <f>"2020/09/10"</f>
        <v>2020/09/10</v>
      </c>
      <c r="J2201" t="str">
        <f>"502"</f>
        <v>502</v>
      </c>
      <c r="K2201" t="str">
        <f>"20400919"</f>
        <v>20400919</v>
      </c>
      <c r="L2201" t="str">
        <f>"20410111"</f>
        <v>20410111</v>
      </c>
      <c r="M2201" t="str">
        <f>"20041103"</f>
        <v>20041103</v>
      </c>
    </row>
    <row r="2202" spans="1:13" x14ac:dyDescent="0.25">
      <c r="A2202" t="str">
        <f>"00898914"</f>
        <v>00898914</v>
      </c>
      <c r="B2202" t="s">
        <v>1873</v>
      </c>
      <c r="C2202" t="s">
        <v>1875</v>
      </c>
      <c r="D2202" t="s">
        <v>21</v>
      </c>
      <c r="E2202" t="s">
        <v>26</v>
      </c>
      <c r="F2202" t="s">
        <v>17</v>
      </c>
      <c r="G2202" t="str">
        <f>"03"</f>
        <v>03</v>
      </c>
      <c r="H2202" t="str">
        <f>"1  "</f>
        <v xml:space="preserve">1  </v>
      </c>
      <c r="I2202" t="str">
        <f>"2020/03/21"</f>
        <v>2020/03/21</v>
      </c>
      <c r="J2202" t="str">
        <f>"120"</f>
        <v>120</v>
      </c>
      <c r="K2202" t="str">
        <f>"20210109"</f>
        <v>20210109</v>
      </c>
      <c r="L2202" t="s">
        <v>18</v>
      </c>
      <c r="M2202" t="str">
        <f>"20200301"</f>
        <v>20200301</v>
      </c>
    </row>
    <row r="2203" spans="1:13" x14ac:dyDescent="0.25">
      <c r="A2203" t="str">
        <f>"00567548"</f>
        <v>00567548</v>
      </c>
      <c r="B2203" t="s">
        <v>1873</v>
      </c>
      <c r="C2203" t="s">
        <v>1876</v>
      </c>
      <c r="D2203" t="s">
        <v>15</v>
      </c>
      <c r="E2203" t="s">
        <v>16</v>
      </c>
      <c r="F2203" t="s">
        <v>17</v>
      </c>
      <c r="G2203" t="str">
        <f>"03"</f>
        <v>03</v>
      </c>
      <c r="H2203" t="str">
        <f>"3  "</f>
        <v xml:space="preserve">3  </v>
      </c>
      <c r="I2203" t="str">
        <f>"2020/02/10"</f>
        <v>2020/02/10</v>
      </c>
      <c r="J2203" t="str">
        <f>"110"</f>
        <v>110</v>
      </c>
      <c r="K2203" t="str">
        <f>"20330518"</f>
        <v>20330518</v>
      </c>
      <c r="L2203" t="s">
        <v>18</v>
      </c>
      <c r="M2203" t="str">
        <f>"20191203"</f>
        <v>20191203</v>
      </c>
    </row>
    <row r="2204" spans="1:13" x14ac:dyDescent="0.25">
      <c r="A2204" t="str">
        <f>"00219648"</f>
        <v>00219648</v>
      </c>
      <c r="B2204" t="s">
        <v>1879</v>
      </c>
      <c r="C2204" t="s">
        <v>645</v>
      </c>
      <c r="D2204" t="s">
        <v>21</v>
      </c>
      <c r="E2204" t="s">
        <v>26</v>
      </c>
      <c r="F2204" t="s">
        <v>17</v>
      </c>
      <c r="G2204" t="str">
        <f>"03"</f>
        <v>03</v>
      </c>
      <c r="H2204" t="str">
        <f>"3  "</f>
        <v xml:space="preserve">3  </v>
      </c>
      <c r="I2204" t="str">
        <f>"2020/01/09"</f>
        <v>2020/01/09</v>
      </c>
      <c r="J2204" t="str">
        <f>"120"</f>
        <v>120</v>
      </c>
      <c r="K2204" t="str">
        <f>"20390815"</f>
        <v>20390815</v>
      </c>
      <c r="L2204" t="s">
        <v>18</v>
      </c>
      <c r="M2204" t="str">
        <f>"20191209"</f>
        <v>20191209</v>
      </c>
    </row>
    <row r="2205" spans="1:13" x14ac:dyDescent="0.25">
      <c r="A2205" t="str">
        <f>"00318650"</f>
        <v>00318650</v>
      </c>
      <c r="B2205" t="s">
        <v>1881</v>
      </c>
      <c r="C2205" t="s">
        <v>734</v>
      </c>
      <c r="D2205" t="s">
        <v>15</v>
      </c>
      <c r="E2205" t="s">
        <v>16</v>
      </c>
      <c r="F2205" t="s">
        <v>17</v>
      </c>
      <c r="G2205" t="str">
        <f>"03"</f>
        <v>03</v>
      </c>
      <c r="H2205" t="str">
        <f>"0  "</f>
        <v xml:space="preserve">0  </v>
      </c>
      <c r="I2205" t="str">
        <f>"2020/09/15"</f>
        <v>2020/09/15</v>
      </c>
      <c r="J2205" t="str">
        <f>"410"</f>
        <v>410</v>
      </c>
      <c r="K2205" t="s">
        <v>18</v>
      </c>
      <c r="L2205" t="s">
        <v>18</v>
      </c>
      <c r="M2205" t="s">
        <v>18</v>
      </c>
    </row>
    <row r="2206" spans="1:13" x14ac:dyDescent="0.25">
      <c r="A2206" t="str">
        <f>"00230907"</f>
        <v>00230907</v>
      </c>
      <c r="B2206" t="s">
        <v>1882</v>
      </c>
      <c r="C2206" t="s">
        <v>1883</v>
      </c>
      <c r="D2206" t="s">
        <v>51</v>
      </c>
      <c r="E2206" t="s">
        <v>26</v>
      </c>
      <c r="F2206" t="s">
        <v>17</v>
      </c>
      <c r="G2206" t="str">
        <f>"03"</f>
        <v>03</v>
      </c>
      <c r="H2206" t="str">
        <f>"3  "</f>
        <v xml:space="preserve">3  </v>
      </c>
      <c r="I2206" t="str">
        <f>"2015/03/20"</f>
        <v>2015/03/20</v>
      </c>
      <c r="J2206" t="str">
        <f>"110"</f>
        <v>110</v>
      </c>
      <c r="K2206" t="str">
        <f>"20210228"</f>
        <v>20210228</v>
      </c>
      <c r="L2206" t="s">
        <v>18</v>
      </c>
      <c r="M2206" t="str">
        <f>"20140727"</f>
        <v>20140727</v>
      </c>
    </row>
    <row r="2207" spans="1:13" x14ac:dyDescent="0.25">
      <c r="A2207" t="str">
        <f>"00350964"</f>
        <v>00350964</v>
      </c>
      <c r="B2207" t="s">
        <v>1894</v>
      </c>
      <c r="C2207" t="s">
        <v>250</v>
      </c>
      <c r="D2207" t="s">
        <v>45</v>
      </c>
      <c r="E2207" t="s">
        <v>26</v>
      </c>
      <c r="F2207" t="s">
        <v>17</v>
      </c>
      <c r="G2207" t="str">
        <f>"03"</f>
        <v>03</v>
      </c>
      <c r="H2207" t="str">
        <f>"3  "</f>
        <v xml:space="preserve">3  </v>
      </c>
      <c r="I2207" t="str">
        <f>"2020/03/04"</f>
        <v>2020/03/04</v>
      </c>
      <c r="J2207" t="str">
        <f>"120"</f>
        <v>120</v>
      </c>
      <c r="K2207" t="str">
        <f>"20290829"</f>
        <v>20290829</v>
      </c>
      <c r="L2207" t="s">
        <v>18</v>
      </c>
      <c r="M2207" t="str">
        <f>"20200303"</f>
        <v>20200303</v>
      </c>
    </row>
    <row r="2208" spans="1:13" x14ac:dyDescent="0.25">
      <c r="A2208" t="str">
        <f>"00673044"</f>
        <v>00673044</v>
      </c>
      <c r="B2208" t="s">
        <v>1902</v>
      </c>
      <c r="C2208" t="s">
        <v>384</v>
      </c>
      <c r="D2208" t="s">
        <v>61</v>
      </c>
      <c r="E2208" t="s">
        <v>16</v>
      </c>
      <c r="F2208" t="s">
        <v>17</v>
      </c>
      <c r="G2208" t="str">
        <f>"03"</f>
        <v>03</v>
      </c>
      <c r="H2208" t="str">
        <f>"3  "</f>
        <v xml:space="preserve">3  </v>
      </c>
      <c r="I2208" t="str">
        <f>"2020/07/24"</f>
        <v>2020/07/24</v>
      </c>
      <c r="J2208" t="str">
        <f>"502"</f>
        <v>502</v>
      </c>
      <c r="K2208" t="str">
        <f>"20261209"</f>
        <v>20261209</v>
      </c>
      <c r="L2208" t="s">
        <v>18</v>
      </c>
      <c r="M2208" t="str">
        <f>"20190912"</f>
        <v>20190912</v>
      </c>
    </row>
    <row r="2209" spans="1:13" x14ac:dyDescent="0.25">
      <c r="A2209" t="str">
        <f>"00116541"</f>
        <v>00116541</v>
      </c>
      <c r="B2209" t="s">
        <v>1903</v>
      </c>
      <c r="C2209" t="s">
        <v>96</v>
      </c>
      <c r="D2209" t="s">
        <v>47</v>
      </c>
      <c r="E2209" t="s">
        <v>16</v>
      </c>
      <c r="F2209" t="s">
        <v>17</v>
      </c>
      <c r="G2209" t="str">
        <f>"03"</f>
        <v>03</v>
      </c>
      <c r="H2209" t="str">
        <f>"7  "</f>
        <v xml:space="preserve">7  </v>
      </c>
      <c r="I2209" t="str">
        <f>"2020/09/03"</f>
        <v>2020/09/03</v>
      </c>
      <c r="J2209" t="str">
        <f>"502"</f>
        <v>502</v>
      </c>
      <c r="K2209" t="s">
        <v>18</v>
      </c>
      <c r="L2209" t="str">
        <f>"20210825"</f>
        <v>20210825</v>
      </c>
      <c r="M2209" t="str">
        <f>"19890609"</f>
        <v>19890609</v>
      </c>
    </row>
    <row r="2210" spans="1:13" x14ac:dyDescent="0.25">
      <c r="A2210" t="str">
        <f>"00235593"</f>
        <v>00235593</v>
      </c>
      <c r="B2210" t="s">
        <v>1919</v>
      </c>
      <c r="C2210" t="s">
        <v>878</v>
      </c>
      <c r="D2210" t="s">
        <v>26</v>
      </c>
      <c r="E2210" t="s">
        <v>26</v>
      </c>
      <c r="F2210" t="s">
        <v>17</v>
      </c>
      <c r="G2210" t="str">
        <f>"03"</f>
        <v>03</v>
      </c>
      <c r="H2210" t="str">
        <f>"0  "</f>
        <v xml:space="preserve">0  </v>
      </c>
      <c r="I2210" t="str">
        <f>"2020/04/27"</f>
        <v>2020/04/27</v>
      </c>
      <c r="J2210" t="str">
        <f>"410"</f>
        <v>410</v>
      </c>
      <c r="K2210" t="s">
        <v>18</v>
      </c>
      <c r="L2210" t="s">
        <v>18</v>
      </c>
      <c r="M2210" t="s">
        <v>18</v>
      </c>
    </row>
    <row r="2211" spans="1:13" x14ac:dyDescent="0.25">
      <c r="A2211" t="str">
        <f>"00330095"</f>
        <v>00330095</v>
      </c>
      <c r="B2211" t="s">
        <v>1920</v>
      </c>
      <c r="C2211" t="s">
        <v>1921</v>
      </c>
      <c r="D2211" t="s">
        <v>15</v>
      </c>
      <c r="E2211" t="s">
        <v>26</v>
      </c>
      <c r="F2211" t="s">
        <v>17</v>
      </c>
      <c r="G2211" t="str">
        <f>"03"</f>
        <v>03</v>
      </c>
      <c r="H2211" t="str">
        <f>"3  "</f>
        <v xml:space="preserve">3  </v>
      </c>
      <c r="I2211" t="str">
        <f>"2020/01/14"</f>
        <v>2020/01/14</v>
      </c>
      <c r="J2211" t="str">
        <f>"110"</f>
        <v>110</v>
      </c>
      <c r="K2211" t="str">
        <f>"20220602"</f>
        <v>20220602</v>
      </c>
      <c r="L2211" t="s">
        <v>18</v>
      </c>
      <c r="M2211" t="str">
        <f>"20190821"</f>
        <v>20190821</v>
      </c>
    </row>
    <row r="2212" spans="1:13" x14ac:dyDescent="0.25">
      <c r="A2212" t="str">
        <f>"00796206"</f>
        <v>00796206</v>
      </c>
      <c r="B2212" t="s">
        <v>1920</v>
      </c>
      <c r="C2212" t="s">
        <v>140</v>
      </c>
      <c r="D2212" t="s">
        <v>25</v>
      </c>
      <c r="E2212" t="s">
        <v>26</v>
      </c>
      <c r="F2212" t="s">
        <v>17</v>
      </c>
      <c r="G2212" t="str">
        <f>"03"</f>
        <v>03</v>
      </c>
      <c r="H2212" t="str">
        <f>"3  "</f>
        <v xml:space="preserve">3  </v>
      </c>
      <c r="I2212" t="str">
        <f>"2020/09/21"</f>
        <v>2020/09/21</v>
      </c>
      <c r="J2212" t="str">
        <f>"120"</f>
        <v>120</v>
      </c>
      <c r="K2212" t="str">
        <f>"20220719"</f>
        <v>20220719</v>
      </c>
      <c r="L2212" t="s">
        <v>18</v>
      </c>
      <c r="M2212" t="str">
        <f>"20200921"</f>
        <v>20200921</v>
      </c>
    </row>
    <row r="2213" spans="1:13" x14ac:dyDescent="0.25">
      <c r="A2213" t="str">
        <f>"00930016"</f>
        <v>00930016</v>
      </c>
      <c r="B2213" t="s">
        <v>1920</v>
      </c>
      <c r="C2213" t="s">
        <v>398</v>
      </c>
      <c r="D2213" t="s">
        <v>53</v>
      </c>
      <c r="E2213" t="s">
        <v>16</v>
      </c>
      <c r="F2213" t="s">
        <v>17</v>
      </c>
      <c r="G2213" t="str">
        <f>"03"</f>
        <v>03</v>
      </c>
      <c r="H2213" t="str">
        <f>"0  "</f>
        <v xml:space="preserve">0  </v>
      </c>
      <c r="I2213" t="str">
        <f>"2020/06/23"</f>
        <v>2020/06/23</v>
      </c>
      <c r="J2213" t="str">
        <f>"410"</f>
        <v>410</v>
      </c>
      <c r="K2213" t="s">
        <v>18</v>
      </c>
      <c r="L2213" t="s">
        <v>18</v>
      </c>
      <c r="M2213" t="s">
        <v>18</v>
      </c>
    </row>
    <row r="2214" spans="1:13" x14ac:dyDescent="0.25">
      <c r="A2214" t="str">
        <f>"00920063"</f>
        <v>00920063</v>
      </c>
      <c r="B2214" t="s">
        <v>1927</v>
      </c>
      <c r="C2214" t="s">
        <v>72</v>
      </c>
      <c r="D2214" t="s">
        <v>51</v>
      </c>
      <c r="E2214" t="s">
        <v>26</v>
      </c>
      <c r="F2214" t="s">
        <v>17</v>
      </c>
      <c r="G2214" t="str">
        <f>"03"</f>
        <v>03</v>
      </c>
      <c r="H2214" t="str">
        <f>"0  "</f>
        <v xml:space="preserve">0  </v>
      </c>
      <c r="I2214" t="str">
        <f>"2020/02/06"</f>
        <v>2020/02/06</v>
      </c>
      <c r="J2214" t="str">
        <f>"420"</f>
        <v>420</v>
      </c>
      <c r="K2214" t="s">
        <v>18</v>
      </c>
      <c r="L2214" t="s">
        <v>18</v>
      </c>
      <c r="M2214" t="s">
        <v>18</v>
      </c>
    </row>
    <row r="2215" spans="1:13" x14ac:dyDescent="0.25">
      <c r="A2215" t="str">
        <f>"00519474"</f>
        <v>00519474</v>
      </c>
      <c r="B2215" t="s">
        <v>1934</v>
      </c>
      <c r="C2215" t="s">
        <v>526</v>
      </c>
      <c r="D2215" t="s">
        <v>45</v>
      </c>
      <c r="E2215" t="s">
        <v>16</v>
      </c>
      <c r="F2215" t="s">
        <v>17</v>
      </c>
      <c r="G2215" t="str">
        <f>"03"</f>
        <v>03</v>
      </c>
      <c r="H2215" t="str">
        <f>"3  "</f>
        <v xml:space="preserve">3  </v>
      </c>
      <c r="I2215" t="str">
        <f>"2015/05/18"</f>
        <v>2015/05/18</v>
      </c>
      <c r="J2215" t="str">
        <f>"502"</f>
        <v>502</v>
      </c>
      <c r="K2215" t="str">
        <f>"20210129"</f>
        <v>20210129</v>
      </c>
      <c r="L2215" t="s">
        <v>18</v>
      </c>
      <c r="M2215" t="str">
        <f>"20150514"</f>
        <v>20150514</v>
      </c>
    </row>
    <row r="2216" spans="1:13" x14ac:dyDescent="0.25">
      <c r="A2216" t="str">
        <f>"00845314"</f>
        <v>00845314</v>
      </c>
      <c r="B2216" t="s">
        <v>1936</v>
      </c>
      <c r="C2216" t="s">
        <v>44</v>
      </c>
      <c r="D2216" t="s">
        <v>16</v>
      </c>
      <c r="E2216" t="s">
        <v>16</v>
      </c>
      <c r="F2216" t="s">
        <v>17</v>
      </c>
      <c r="G2216" t="str">
        <f>"03"</f>
        <v>03</v>
      </c>
      <c r="H2216" t="str">
        <f>"0  "</f>
        <v xml:space="preserve">0  </v>
      </c>
      <c r="I2216" t="str">
        <f>"2020/04/24"</f>
        <v>2020/04/24</v>
      </c>
      <c r="J2216" t="str">
        <f>"420"</f>
        <v>420</v>
      </c>
      <c r="K2216" t="s">
        <v>18</v>
      </c>
      <c r="L2216" t="s">
        <v>18</v>
      </c>
      <c r="M2216" t="s">
        <v>18</v>
      </c>
    </row>
    <row r="2217" spans="1:13" x14ac:dyDescent="0.25">
      <c r="A2217" t="str">
        <f>"00784958"</f>
        <v>00784958</v>
      </c>
      <c r="B2217" t="s">
        <v>1937</v>
      </c>
      <c r="C2217" t="s">
        <v>1938</v>
      </c>
      <c r="D2217" t="s">
        <v>51</v>
      </c>
      <c r="E2217" t="s">
        <v>26</v>
      </c>
      <c r="F2217" t="s">
        <v>17</v>
      </c>
      <c r="G2217" t="str">
        <f>"03"</f>
        <v>03</v>
      </c>
      <c r="H2217" t="str">
        <f>"1  "</f>
        <v xml:space="preserve">1  </v>
      </c>
      <c r="I2217" t="str">
        <f>"2020/05/06"</f>
        <v>2020/05/06</v>
      </c>
      <c r="J2217" t="str">
        <f>"110"</f>
        <v>110</v>
      </c>
      <c r="K2217" t="str">
        <f>"20210301"</f>
        <v>20210301</v>
      </c>
      <c r="L2217" t="s">
        <v>18</v>
      </c>
      <c r="M2217" t="str">
        <f>"20200428"</f>
        <v>20200428</v>
      </c>
    </row>
    <row r="2218" spans="1:13" x14ac:dyDescent="0.25">
      <c r="A2218" t="str">
        <f>"00257128"</f>
        <v>00257128</v>
      </c>
      <c r="B2218" t="s">
        <v>1940</v>
      </c>
      <c r="C2218" t="s">
        <v>120</v>
      </c>
      <c r="D2218" t="s">
        <v>51</v>
      </c>
      <c r="E2218" t="s">
        <v>26</v>
      </c>
      <c r="F2218" t="s">
        <v>17</v>
      </c>
      <c r="G2218" t="str">
        <f>"03"</f>
        <v>03</v>
      </c>
      <c r="H2218" t="str">
        <f>"3  "</f>
        <v xml:space="preserve">3  </v>
      </c>
      <c r="I2218" t="str">
        <f>"2020/09/03"</f>
        <v>2020/09/03</v>
      </c>
      <c r="J2218" t="str">
        <f>"502"</f>
        <v>502</v>
      </c>
      <c r="K2218" t="str">
        <f>"20301025"</f>
        <v>20301025</v>
      </c>
      <c r="L2218" t="s">
        <v>18</v>
      </c>
      <c r="M2218" t="str">
        <f>"20170717"</f>
        <v>20170717</v>
      </c>
    </row>
    <row r="2219" spans="1:13" x14ac:dyDescent="0.25">
      <c r="A2219" t="str">
        <f>"00383220"</f>
        <v>00383220</v>
      </c>
      <c r="B2219" t="s">
        <v>1951</v>
      </c>
      <c r="C2219" t="s">
        <v>1952</v>
      </c>
      <c r="D2219" t="s">
        <v>51</v>
      </c>
      <c r="E2219" t="s">
        <v>16</v>
      </c>
      <c r="F2219" t="s">
        <v>17</v>
      </c>
      <c r="G2219" t="str">
        <f>"03"</f>
        <v>03</v>
      </c>
      <c r="H2219" t="str">
        <f>"1  "</f>
        <v xml:space="preserve">1  </v>
      </c>
      <c r="I2219" t="str">
        <f>"2019/12/19"</f>
        <v>2019/12/19</v>
      </c>
      <c r="J2219" t="str">
        <f>"110"</f>
        <v>110</v>
      </c>
      <c r="K2219" t="str">
        <f>"20201017"</f>
        <v>20201017</v>
      </c>
      <c r="L2219" t="s">
        <v>18</v>
      </c>
      <c r="M2219" t="str">
        <f>"20191213"</f>
        <v>20191213</v>
      </c>
    </row>
    <row r="2220" spans="1:13" x14ac:dyDescent="0.25">
      <c r="A2220" t="str">
        <f>"00596323"</f>
        <v>00596323</v>
      </c>
      <c r="B2220" t="s">
        <v>1953</v>
      </c>
      <c r="C2220" t="s">
        <v>526</v>
      </c>
      <c r="D2220" t="s">
        <v>51</v>
      </c>
      <c r="E2220" t="s">
        <v>16</v>
      </c>
      <c r="F2220" t="s">
        <v>17</v>
      </c>
      <c r="G2220" t="str">
        <f>"03"</f>
        <v>03</v>
      </c>
      <c r="H2220" t="str">
        <f>"3  "</f>
        <v xml:space="preserve">3  </v>
      </c>
      <c r="I2220" t="str">
        <f>"2019/05/07"</f>
        <v>2019/05/07</v>
      </c>
      <c r="J2220" t="str">
        <f>"110"</f>
        <v>110</v>
      </c>
      <c r="K2220" t="str">
        <f>"20410818"</f>
        <v>20410818</v>
      </c>
      <c r="L2220" t="s">
        <v>18</v>
      </c>
      <c r="M2220" t="str">
        <f>"20190128"</f>
        <v>20190128</v>
      </c>
    </row>
    <row r="2221" spans="1:13" x14ac:dyDescent="0.25">
      <c r="A2221" t="str">
        <f>"00677388"</f>
        <v>00677388</v>
      </c>
      <c r="B2221" t="s">
        <v>1954</v>
      </c>
      <c r="C2221" t="s">
        <v>639</v>
      </c>
      <c r="D2221" t="s">
        <v>61</v>
      </c>
      <c r="E2221" t="s">
        <v>16</v>
      </c>
      <c r="F2221" t="s">
        <v>17</v>
      </c>
      <c r="G2221" t="str">
        <f>"03"</f>
        <v>03</v>
      </c>
      <c r="H2221" t="str">
        <f>"3  "</f>
        <v xml:space="preserve">3  </v>
      </c>
      <c r="I2221" t="str">
        <f>"2015/12/07"</f>
        <v>2015/12/07</v>
      </c>
      <c r="J2221" t="str">
        <f>"510"</f>
        <v>510</v>
      </c>
      <c r="K2221" t="str">
        <f>"20210401"</f>
        <v>20210401</v>
      </c>
      <c r="L2221" t="s">
        <v>18</v>
      </c>
      <c r="M2221" t="str">
        <f>"20141009"</f>
        <v>20141009</v>
      </c>
    </row>
    <row r="2222" spans="1:13" x14ac:dyDescent="0.25">
      <c r="A2222" t="str">
        <f>"00318352"</f>
        <v>00318352</v>
      </c>
      <c r="B2222" t="s">
        <v>1954</v>
      </c>
      <c r="C2222" t="s">
        <v>308</v>
      </c>
      <c r="D2222" t="s">
        <v>97</v>
      </c>
      <c r="E2222" t="s">
        <v>16</v>
      </c>
      <c r="F2222" t="s">
        <v>17</v>
      </c>
      <c r="G2222" t="str">
        <f>"03"</f>
        <v>03</v>
      </c>
      <c r="H2222" t="str">
        <f>"3  "</f>
        <v xml:space="preserve">3  </v>
      </c>
      <c r="I2222" t="str">
        <f>"2019/08/29"</f>
        <v>2019/08/29</v>
      </c>
      <c r="J2222" t="str">
        <f>"110"</f>
        <v>110</v>
      </c>
      <c r="K2222" t="str">
        <f>"20210330"</f>
        <v>20210330</v>
      </c>
      <c r="L2222" t="s">
        <v>18</v>
      </c>
      <c r="M2222" t="str">
        <f>"20190823"</f>
        <v>20190823</v>
      </c>
    </row>
    <row r="2223" spans="1:13" x14ac:dyDescent="0.25">
      <c r="A2223" t="str">
        <f>"00521802"</f>
        <v>00521802</v>
      </c>
      <c r="B2223" t="s">
        <v>1962</v>
      </c>
      <c r="C2223" t="s">
        <v>72</v>
      </c>
      <c r="D2223" t="s">
        <v>25</v>
      </c>
      <c r="E2223" t="s">
        <v>26</v>
      </c>
      <c r="F2223" t="s">
        <v>17</v>
      </c>
      <c r="G2223" t="str">
        <f>"03"</f>
        <v>03</v>
      </c>
      <c r="H2223" t="str">
        <f>"3  "</f>
        <v xml:space="preserve">3  </v>
      </c>
      <c r="I2223" t="str">
        <f>"2017/10/18"</f>
        <v>2017/10/18</v>
      </c>
      <c r="J2223" t="str">
        <f>"110"</f>
        <v>110</v>
      </c>
      <c r="K2223" t="str">
        <f>"20210801"</f>
        <v>20210801</v>
      </c>
      <c r="L2223" t="s">
        <v>18</v>
      </c>
      <c r="M2223" t="str">
        <f>"20170427"</f>
        <v>20170427</v>
      </c>
    </row>
    <row r="2224" spans="1:13" x14ac:dyDescent="0.25">
      <c r="A2224" t="str">
        <f>"00218517"</f>
        <v>00218517</v>
      </c>
      <c r="B2224" t="s">
        <v>1969</v>
      </c>
      <c r="C2224" t="s">
        <v>1971</v>
      </c>
      <c r="D2224" t="s">
        <v>61</v>
      </c>
      <c r="E2224" t="s">
        <v>26</v>
      </c>
      <c r="F2224" t="s">
        <v>17</v>
      </c>
      <c r="G2224" t="str">
        <f>"03"</f>
        <v>03</v>
      </c>
      <c r="H2224" t="str">
        <f>"3  "</f>
        <v xml:space="preserve">3  </v>
      </c>
      <c r="I2224" t="str">
        <f>"2017/01/30"</f>
        <v>2017/01/30</v>
      </c>
      <c r="J2224" t="str">
        <f>"110"</f>
        <v>110</v>
      </c>
      <c r="K2224" t="str">
        <f>"20220609"</f>
        <v>20220609</v>
      </c>
      <c r="L2224" t="s">
        <v>18</v>
      </c>
      <c r="M2224" t="str">
        <f>"20160521"</f>
        <v>20160521</v>
      </c>
    </row>
    <row r="2225" spans="1:13" x14ac:dyDescent="0.25">
      <c r="A2225" t="str">
        <f>"00650467"</f>
        <v>00650467</v>
      </c>
      <c r="B2225" t="s">
        <v>1975</v>
      </c>
      <c r="C2225" t="s">
        <v>348</v>
      </c>
      <c r="D2225" t="s">
        <v>25</v>
      </c>
      <c r="E2225" t="s">
        <v>26</v>
      </c>
      <c r="F2225" t="s">
        <v>17</v>
      </c>
      <c r="G2225" t="str">
        <f>"03"</f>
        <v>03</v>
      </c>
      <c r="H2225" t="str">
        <f>"3  "</f>
        <v xml:space="preserve">3  </v>
      </c>
      <c r="I2225" t="str">
        <f>"2013/04/24"</f>
        <v>2013/04/24</v>
      </c>
      <c r="J2225" t="str">
        <f>"110"</f>
        <v>110</v>
      </c>
      <c r="K2225" t="str">
        <f>"20241011"</f>
        <v>20241011</v>
      </c>
      <c r="L2225" t="s">
        <v>18</v>
      </c>
      <c r="M2225" t="str">
        <f>"20111219"</f>
        <v>20111219</v>
      </c>
    </row>
    <row r="2226" spans="1:13" x14ac:dyDescent="0.25">
      <c r="A2226" t="str">
        <f>"00276662"</f>
        <v>00276662</v>
      </c>
      <c r="B2226" t="s">
        <v>1986</v>
      </c>
      <c r="C2226" t="s">
        <v>148</v>
      </c>
      <c r="D2226" t="s">
        <v>51</v>
      </c>
      <c r="E2226" t="s">
        <v>26</v>
      </c>
      <c r="F2226" t="s">
        <v>17</v>
      </c>
      <c r="G2226" t="str">
        <f>"03"</f>
        <v>03</v>
      </c>
      <c r="H2226" t="str">
        <f>"3  "</f>
        <v xml:space="preserve">3  </v>
      </c>
      <c r="I2226" t="str">
        <f>"2014/02/05"</f>
        <v>2014/02/05</v>
      </c>
      <c r="J2226" t="str">
        <f>"110"</f>
        <v>110</v>
      </c>
      <c r="K2226" t="str">
        <f>"20230920"</f>
        <v>20230920</v>
      </c>
      <c r="L2226" t="s">
        <v>18</v>
      </c>
      <c r="M2226" t="str">
        <f>"20131003"</f>
        <v>20131003</v>
      </c>
    </row>
    <row r="2227" spans="1:13" x14ac:dyDescent="0.25">
      <c r="A2227" t="str">
        <f>"00283131"</f>
        <v>00283131</v>
      </c>
      <c r="B2227" t="s">
        <v>1993</v>
      </c>
      <c r="C2227" t="s">
        <v>140</v>
      </c>
      <c r="D2227" t="s">
        <v>80</v>
      </c>
      <c r="E2227" t="s">
        <v>16</v>
      </c>
      <c r="F2227" t="s">
        <v>17</v>
      </c>
      <c r="G2227" t="str">
        <f>"03"</f>
        <v>03</v>
      </c>
      <c r="H2227" t="str">
        <f>"3  "</f>
        <v xml:space="preserve">3  </v>
      </c>
      <c r="I2227" t="str">
        <f>"2020/06/25"</f>
        <v>2020/06/25</v>
      </c>
      <c r="J2227" t="str">
        <f>"110"</f>
        <v>110</v>
      </c>
      <c r="K2227" t="str">
        <f>"20240722"</f>
        <v>20240722</v>
      </c>
      <c r="L2227" t="s">
        <v>18</v>
      </c>
      <c r="M2227" t="str">
        <f>"20200113"</f>
        <v>20200113</v>
      </c>
    </row>
    <row r="2228" spans="1:13" x14ac:dyDescent="0.25">
      <c r="A2228" t="str">
        <f>"00651121"</f>
        <v>00651121</v>
      </c>
      <c r="B2228" t="s">
        <v>2002</v>
      </c>
      <c r="C2228" t="s">
        <v>320</v>
      </c>
      <c r="D2228" t="s">
        <v>53</v>
      </c>
      <c r="E2228" t="s">
        <v>16</v>
      </c>
      <c r="F2228" t="s">
        <v>17</v>
      </c>
      <c r="G2228" t="str">
        <f>"03"</f>
        <v>03</v>
      </c>
      <c r="H2228" t="str">
        <f>"3  "</f>
        <v xml:space="preserve">3  </v>
      </c>
      <c r="I2228" t="str">
        <f>"2019/08/15"</f>
        <v>2019/08/15</v>
      </c>
      <c r="J2228" t="str">
        <f>"110"</f>
        <v>110</v>
      </c>
      <c r="K2228" t="str">
        <f>"20200929"</f>
        <v>20200929</v>
      </c>
      <c r="L2228" t="s">
        <v>18</v>
      </c>
      <c r="M2228" t="str">
        <f>"20190810"</f>
        <v>20190810</v>
      </c>
    </row>
    <row r="2229" spans="1:13" x14ac:dyDescent="0.25">
      <c r="A2229" t="str">
        <f>"00101343"</f>
        <v>00101343</v>
      </c>
      <c r="B2229" t="s">
        <v>2002</v>
      </c>
      <c r="C2229" t="s">
        <v>74</v>
      </c>
      <c r="D2229" t="s">
        <v>40</v>
      </c>
      <c r="E2229" t="s">
        <v>16</v>
      </c>
      <c r="F2229" t="s">
        <v>17</v>
      </c>
      <c r="G2229" t="str">
        <f>"03"</f>
        <v>03</v>
      </c>
      <c r="H2229" t="str">
        <f>"7  "</f>
        <v xml:space="preserve">7  </v>
      </c>
      <c r="I2229" t="str">
        <f>"2011/08/22"</f>
        <v>2011/08/22</v>
      </c>
      <c r="J2229" t="str">
        <f>"110"</f>
        <v>110</v>
      </c>
      <c r="K2229" t="s">
        <v>18</v>
      </c>
      <c r="L2229" t="s">
        <v>18</v>
      </c>
      <c r="M2229" t="str">
        <f>"20100325"</f>
        <v>20100325</v>
      </c>
    </row>
    <row r="2230" spans="1:13" x14ac:dyDescent="0.25">
      <c r="A2230" t="str">
        <f>"00255046"</f>
        <v>00255046</v>
      </c>
      <c r="B2230" t="s">
        <v>2005</v>
      </c>
      <c r="C2230" t="s">
        <v>125</v>
      </c>
      <c r="D2230" t="s">
        <v>80</v>
      </c>
      <c r="E2230" t="s">
        <v>16</v>
      </c>
      <c r="F2230" t="s">
        <v>17</v>
      </c>
      <c r="G2230" t="str">
        <f>"03"</f>
        <v>03</v>
      </c>
      <c r="H2230" t="str">
        <f>"3  "</f>
        <v xml:space="preserve">3  </v>
      </c>
      <c r="I2230" t="str">
        <f>"2020/08/09"</f>
        <v>2020/08/09</v>
      </c>
      <c r="J2230" t="str">
        <f>"110"</f>
        <v>110</v>
      </c>
      <c r="K2230" t="str">
        <f>"20241110"</f>
        <v>20241110</v>
      </c>
      <c r="L2230" t="s">
        <v>18</v>
      </c>
      <c r="M2230" t="str">
        <f>"20200428"</f>
        <v>20200428</v>
      </c>
    </row>
    <row r="2231" spans="1:13" x14ac:dyDescent="0.25">
      <c r="A2231" t="str">
        <f>"00384158"</f>
        <v>00384158</v>
      </c>
      <c r="B2231" t="s">
        <v>2008</v>
      </c>
      <c r="C2231" t="s">
        <v>148</v>
      </c>
      <c r="D2231" t="s">
        <v>31</v>
      </c>
      <c r="E2231" t="s">
        <v>16</v>
      </c>
      <c r="F2231" t="s">
        <v>17</v>
      </c>
      <c r="G2231" t="str">
        <f>"03"</f>
        <v>03</v>
      </c>
      <c r="H2231" t="str">
        <f>"3  "</f>
        <v xml:space="preserve">3  </v>
      </c>
      <c r="I2231" t="str">
        <f>"2018/12/19"</f>
        <v>2018/12/19</v>
      </c>
      <c r="J2231" t="str">
        <f>"110"</f>
        <v>110</v>
      </c>
      <c r="K2231" t="str">
        <f>"20210714"</f>
        <v>20210714</v>
      </c>
      <c r="L2231" t="s">
        <v>18</v>
      </c>
      <c r="M2231" t="str">
        <f>"20180116"</f>
        <v>20180116</v>
      </c>
    </row>
    <row r="2232" spans="1:13" x14ac:dyDescent="0.25">
      <c r="A2232" t="str">
        <f>"00543924"</f>
        <v>00543924</v>
      </c>
      <c r="B2232" t="s">
        <v>2009</v>
      </c>
      <c r="C2232" t="s">
        <v>2010</v>
      </c>
      <c r="D2232" t="s">
        <v>37</v>
      </c>
      <c r="E2232" t="s">
        <v>16</v>
      </c>
      <c r="F2232" t="s">
        <v>17</v>
      </c>
      <c r="G2232" t="str">
        <f>"03"</f>
        <v>03</v>
      </c>
      <c r="H2232" t="str">
        <f>"3  "</f>
        <v xml:space="preserve">3  </v>
      </c>
      <c r="I2232" t="str">
        <f>"2019/04/18"</f>
        <v>2019/04/18</v>
      </c>
      <c r="J2232" t="str">
        <f>"512"</f>
        <v>512</v>
      </c>
      <c r="K2232" t="str">
        <f>"20311014"</f>
        <v>20311014</v>
      </c>
      <c r="L2232" t="s">
        <v>18</v>
      </c>
      <c r="M2232" t="str">
        <f>"20190416"</f>
        <v>20190416</v>
      </c>
    </row>
    <row r="2233" spans="1:13" x14ac:dyDescent="0.25">
      <c r="A2233" t="str">
        <f>"00235547"</f>
        <v>00235547</v>
      </c>
      <c r="B2233" t="s">
        <v>2012</v>
      </c>
      <c r="C2233" t="s">
        <v>1312</v>
      </c>
      <c r="D2233" t="s">
        <v>45</v>
      </c>
      <c r="E2233" t="s">
        <v>26</v>
      </c>
      <c r="F2233" t="s">
        <v>17</v>
      </c>
      <c r="G2233" t="str">
        <f>"03"</f>
        <v>03</v>
      </c>
      <c r="H2233" t="str">
        <f>"3  "</f>
        <v xml:space="preserve">3  </v>
      </c>
      <c r="I2233" t="str">
        <f>"2020/09/09"</f>
        <v>2020/09/09</v>
      </c>
      <c r="J2233" t="str">
        <f>"502"</f>
        <v>502</v>
      </c>
      <c r="K2233" t="str">
        <f>"20210201"</f>
        <v>20210201</v>
      </c>
      <c r="L2233" t="s">
        <v>18</v>
      </c>
      <c r="M2233" t="str">
        <f>"20180805"</f>
        <v>20180805</v>
      </c>
    </row>
    <row r="2234" spans="1:13" x14ac:dyDescent="0.25">
      <c r="A2234" t="str">
        <f>"00570732"</f>
        <v>00570732</v>
      </c>
      <c r="B2234" t="s">
        <v>2013</v>
      </c>
      <c r="C2234" t="s">
        <v>2014</v>
      </c>
      <c r="D2234" t="s">
        <v>25</v>
      </c>
      <c r="E2234" t="s">
        <v>26</v>
      </c>
      <c r="F2234" t="s">
        <v>17</v>
      </c>
      <c r="G2234" t="str">
        <f>"03"</f>
        <v>03</v>
      </c>
      <c r="H2234" t="str">
        <f>"0  "</f>
        <v xml:space="preserve">0  </v>
      </c>
      <c r="I2234" t="str">
        <f>"2020/09/01"</f>
        <v>2020/09/01</v>
      </c>
      <c r="J2234" t="str">
        <f>"410"</f>
        <v>410</v>
      </c>
      <c r="K2234" t="s">
        <v>18</v>
      </c>
      <c r="L2234" t="s">
        <v>18</v>
      </c>
      <c r="M2234" t="s">
        <v>18</v>
      </c>
    </row>
    <row r="2235" spans="1:13" x14ac:dyDescent="0.25">
      <c r="A2235" t="str">
        <f>"00545480"</f>
        <v>00545480</v>
      </c>
      <c r="B2235" t="s">
        <v>2017</v>
      </c>
      <c r="C2235" t="s">
        <v>140</v>
      </c>
      <c r="D2235" t="s">
        <v>45</v>
      </c>
      <c r="E2235" t="s">
        <v>16</v>
      </c>
      <c r="F2235" t="s">
        <v>17</v>
      </c>
      <c r="G2235" t="str">
        <f>"03"</f>
        <v>03</v>
      </c>
      <c r="H2235" t="str">
        <f>"0  "</f>
        <v xml:space="preserve">0  </v>
      </c>
      <c r="I2235" t="str">
        <f>"2020/09/06"</f>
        <v>2020/09/06</v>
      </c>
      <c r="J2235" t="str">
        <f>"410"</f>
        <v>410</v>
      </c>
      <c r="K2235" t="s">
        <v>18</v>
      </c>
      <c r="L2235" t="s">
        <v>18</v>
      </c>
      <c r="M2235" t="s">
        <v>18</v>
      </c>
    </row>
    <row r="2236" spans="1:13" x14ac:dyDescent="0.25">
      <c r="A2236" t="str">
        <f>"00319536"</f>
        <v>00319536</v>
      </c>
      <c r="B2236" t="s">
        <v>2022</v>
      </c>
      <c r="C2236" t="s">
        <v>1618</v>
      </c>
      <c r="D2236" t="s">
        <v>51</v>
      </c>
      <c r="E2236" t="s">
        <v>26</v>
      </c>
      <c r="F2236" t="s">
        <v>17</v>
      </c>
      <c r="G2236" t="str">
        <f>"03"</f>
        <v>03</v>
      </c>
      <c r="H2236" t="str">
        <f>"3  "</f>
        <v xml:space="preserve">3  </v>
      </c>
      <c r="I2236" t="str">
        <f>"2020/04/23"</f>
        <v>2020/04/23</v>
      </c>
      <c r="J2236" t="str">
        <f>"110"</f>
        <v>110</v>
      </c>
      <c r="K2236" t="str">
        <f>"20221031"</f>
        <v>20221031</v>
      </c>
      <c r="L2236" t="s">
        <v>18</v>
      </c>
      <c r="M2236" t="str">
        <f>"20200205"</f>
        <v>20200205</v>
      </c>
    </row>
    <row r="2237" spans="1:13" x14ac:dyDescent="0.25">
      <c r="A2237" t="str">
        <f>"00587456"</f>
        <v>00587456</v>
      </c>
      <c r="B2237" t="s">
        <v>2024</v>
      </c>
      <c r="C2237" t="s">
        <v>120</v>
      </c>
      <c r="D2237" t="s">
        <v>51</v>
      </c>
      <c r="E2237" t="s">
        <v>16</v>
      </c>
      <c r="F2237" t="s">
        <v>17</v>
      </c>
      <c r="G2237" t="str">
        <f>"03"</f>
        <v>03</v>
      </c>
      <c r="H2237" t="str">
        <f>"1  "</f>
        <v xml:space="preserve">1  </v>
      </c>
      <c r="I2237" t="str">
        <f>"2020/08/17"</f>
        <v>2020/08/17</v>
      </c>
      <c r="J2237" t="str">
        <f>"110"</f>
        <v>110</v>
      </c>
      <c r="K2237" t="str">
        <f>"20200928"</f>
        <v>20200928</v>
      </c>
      <c r="L2237" t="s">
        <v>18</v>
      </c>
      <c r="M2237" t="str">
        <f>"20200817"</f>
        <v>20200817</v>
      </c>
    </row>
    <row r="2238" spans="1:13" x14ac:dyDescent="0.25">
      <c r="A2238" t="str">
        <f>"00276967"</f>
        <v>00276967</v>
      </c>
      <c r="B2238" t="s">
        <v>2024</v>
      </c>
      <c r="C2238" t="s">
        <v>2025</v>
      </c>
      <c r="D2238" t="s">
        <v>25</v>
      </c>
      <c r="E2238" t="s">
        <v>26</v>
      </c>
      <c r="F2238" t="s">
        <v>17</v>
      </c>
      <c r="G2238" t="str">
        <f>"03"</f>
        <v>03</v>
      </c>
      <c r="H2238" t="str">
        <f>"3  "</f>
        <v xml:space="preserve">3  </v>
      </c>
      <c r="I2238" t="str">
        <f>"2020/02/17"</f>
        <v>2020/02/17</v>
      </c>
      <c r="J2238" t="str">
        <f>"110"</f>
        <v>110</v>
      </c>
      <c r="K2238" t="str">
        <f>"20211213"</f>
        <v>20211213</v>
      </c>
      <c r="L2238" t="s">
        <v>18</v>
      </c>
      <c r="M2238" t="str">
        <f>"20200217"</f>
        <v>20200217</v>
      </c>
    </row>
    <row r="2239" spans="1:13" x14ac:dyDescent="0.25">
      <c r="A2239" t="str">
        <f>"00859752"</f>
        <v>00859752</v>
      </c>
      <c r="B2239" t="s">
        <v>2034</v>
      </c>
      <c r="C2239" t="s">
        <v>2035</v>
      </c>
      <c r="D2239" t="s">
        <v>31</v>
      </c>
      <c r="E2239" t="s">
        <v>26</v>
      </c>
      <c r="F2239" t="s">
        <v>17</v>
      </c>
      <c r="G2239" t="str">
        <f>"03"</f>
        <v>03</v>
      </c>
      <c r="H2239" t="str">
        <f>"0  "</f>
        <v xml:space="preserve">0  </v>
      </c>
      <c r="I2239" t="str">
        <f>"2020/08/24"</f>
        <v>2020/08/24</v>
      </c>
      <c r="J2239" t="str">
        <f>"410"</f>
        <v>410</v>
      </c>
      <c r="K2239" t="s">
        <v>18</v>
      </c>
      <c r="L2239" t="s">
        <v>18</v>
      </c>
      <c r="M2239" t="s">
        <v>18</v>
      </c>
    </row>
    <row r="2240" spans="1:13" x14ac:dyDescent="0.25">
      <c r="A2240" t="str">
        <f>"00283144"</f>
        <v>00283144</v>
      </c>
      <c r="B2240" t="s">
        <v>2034</v>
      </c>
      <c r="C2240" t="s">
        <v>2036</v>
      </c>
      <c r="D2240" t="s">
        <v>37</v>
      </c>
      <c r="E2240" t="s">
        <v>16</v>
      </c>
      <c r="F2240" t="s">
        <v>17</v>
      </c>
      <c r="G2240" t="str">
        <f>"03"</f>
        <v>03</v>
      </c>
      <c r="H2240" t="str">
        <f>"3  "</f>
        <v xml:space="preserve">3  </v>
      </c>
      <c r="I2240" t="str">
        <f>"2018/12/05"</f>
        <v>2018/12/05</v>
      </c>
      <c r="J2240" t="str">
        <f>"120"</f>
        <v>120</v>
      </c>
      <c r="K2240" t="str">
        <f>"20210909"</f>
        <v>20210909</v>
      </c>
      <c r="L2240" t="s">
        <v>18</v>
      </c>
      <c r="M2240" t="str">
        <f>"20181204"</f>
        <v>20181204</v>
      </c>
    </row>
    <row r="2241" spans="1:13" x14ac:dyDescent="0.25">
      <c r="A2241" t="str">
        <f>"00027773"</f>
        <v>00027773</v>
      </c>
      <c r="B2241" t="s">
        <v>2037</v>
      </c>
      <c r="C2241" t="s">
        <v>833</v>
      </c>
      <c r="D2241" t="s">
        <v>61</v>
      </c>
      <c r="E2241" t="s">
        <v>26</v>
      </c>
      <c r="F2241" t="s">
        <v>17</v>
      </c>
      <c r="G2241" t="str">
        <f>"03"</f>
        <v>03</v>
      </c>
      <c r="H2241" t="str">
        <f>"3  "</f>
        <v xml:space="preserve">3  </v>
      </c>
      <c r="I2241" t="str">
        <f>"2019/07/15"</f>
        <v>2019/07/15</v>
      </c>
      <c r="J2241" t="str">
        <f>"110"</f>
        <v>110</v>
      </c>
      <c r="K2241" t="str">
        <f>"20220801"</f>
        <v>20220801</v>
      </c>
      <c r="L2241" t="s">
        <v>18</v>
      </c>
      <c r="M2241" t="str">
        <f>"20190713"</f>
        <v>20190713</v>
      </c>
    </row>
    <row r="2242" spans="1:13" x14ac:dyDescent="0.25">
      <c r="A2242" t="str">
        <f>"00568684"</f>
        <v>00568684</v>
      </c>
      <c r="B2242" t="s">
        <v>2038</v>
      </c>
      <c r="C2242" t="s">
        <v>2039</v>
      </c>
      <c r="D2242" t="s">
        <v>61</v>
      </c>
      <c r="E2242" t="s">
        <v>16</v>
      </c>
      <c r="F2242" t="s">
        <v>17</v>
      </c>
      <c r="G2242" t="str">
        <f>"03"</f>
        <v>03</v>
      </c>
      <c r="H2242" t="str">
        <f>"0  "</f>
        <v xml:space="preserve">0  </v>
      </c>
      <c r="I2242" t="str">
        <f>"2019/08/22"</f>
        <v>2019/08/22</v>
      </c>
      <c r="J2242" t="str">
        <f>"420"</f>
        <v>420</v>
      </c>
      <c r="K2242" t="s">
        <v>18</v>
      </c>
      <c r="L2242" t="s">
        <v>18</v>
      </c>
      <c r="M2242" t="s">
        <v>18</v>
      </c>
    </row>
    <row r="2243" spans="1:13" x14ac:dyDescent="0.25">
      <c r="A2243" t="str">
        <f>"00566057"</f>
        <v>00566057</v>
      </c>
      <c r="B2243" t="s">
        <v>2040</v>
      </c>
      <c r="C2243" t="s">
        <v>2041</v>
      </c>
      <c r="D2243" t="s">
        <v>61</v>
      </c>
      <c r="E2243" t="s">
        <v>16</v>
      </c>
      <c r="F2243" t="s">
        <v>17</v>
      </c>
      <c r="G2243" t="str">
        <f>"03"</f>
        <v>03</v>
      </c>
      <c r="H2243" t="str">
        <f>"1  "</f>
        <v xml:space="preserve">1  </v>
      </c>
      <c r="I2243" t="str">
        <f>"2020/09/09"</f>
        <v>2020/09/09</v>
      </c>
      <c r="J2243" t="str">
        <f>"110"</f>
        <v>110</v>
      </c>
      <c r="K2243" t="str">
        <f>"20201001"</f>
        <v>20201001</v>
      </c>
      <c r="L2243" t="s">
        <v>18</v>
      </c>
      <c r="M2243" t="str">
        <f>"20200902"</f>
        <v>20200902</v>
      </c>
    </row>
    <row r="2244" spans="1:13" x14ac:dyDescent="0.25">
      <c r="A2244" t="str">
        <f>"00418096"</f>
        <v>00418096</v>
      </c>
      <c r="B2244" t="s">
        <v>2047</v>
      </c>
      <c r="C2244" t="s">
        <v>2049</v>
      </c>
      <c r="D2244" t="s">
        <v>25</v>
      </c>
      <c r="E2244" t="s">
        <v>26</v>
      </c>
      <c r="F2244" t="s">
        <v>17</v>
      </c>
      <c r="G2244" t="str">
        <f>"03"</f>
        <v>03</v>
      </c>
      <c r="H2244" t="str">
        <f>"3  "</f>
        <v xml:space="preserve">3  </v>
      </c>
      <c r="I2244" t="str">
        <f>"2020/03/02"</f>
        <v>2020/03/02</v>
      </c>
      <c r="J2244" t="str">
        <f>"110"</f>
        <v>110</v>
      </c>
      <c r="K2244" t="str">
        <f>"20231115"</f>
        <v>20231115</v>
      </c>
      <c r="L2244" t="s">
        <v>18</v>
      </c>
      <c r="M2244" t="str">
        <f>"20190605"</f>
        <v>20190605</v>
      </c>
    </row>
    <row r="2245" spans="1:13" x14ac:dyDescent="0.25">
      <c r="A2245" t="str">
        <f>"00245387"</f>
        <v>00245387</v>
      </c>
      <c r="B2245" t="s">
        <v>2061</v>
      </c>
      <c r="C2245" t="s">
        <v>437</v>
      </c>
      <c r="D2245" t="s">
        <v>51</v>
      </c>
      <c r="E2245" t="s">
        <v>26</v>
      </c>
      <c r="F2245" t="s">
        <v>17</v>
      </c>
      <c r="G2245" t="str">
        <f>"03"</f>
        <v>03</v>
      </c>
      <c r="H2245" t="str">
        <f>"3  "</f>
        <v xml:space="preserve">3  </v>
      </c>
      <c r="I2245" t="str">
        <f>"2020/04/28"</f>
        <v>2020/04/28</v>
      </c>
      <c r="J2245" t="str">
        <f>"110"</f>
        <v>110</v>
      </c>
      <c r="K2245" t="str">
        <f>"20220325"</f>
        <v>20220325</v>
      </c>
      <c r="L2245" t="s">
        <v>18</v>
      </c>
      <c r="M2245" t="str">
        <f>"20190630"</f>
        <v>20190630</v>
      </c>
    </row>
    <row r="2246" spans="1:13" x14ac:dyDescent="0.25">
      <c r="A2246" t="str">
        <f>"00322875"</f>
        <v>00322875</v>
      </c>
      <c r="B2246" t="s">
        <v>2061</v>
      </c>
      <c r="C2246" t="s">
        <v>120</v>
      </c>
      <c r="D2246" t="s">
        <v>51</v>
      </c>
      <c r="E2246" t="s">
        <v>16</v>
      </c>
      <c r="F2246" t="s">
        <v>17</v>
      </c>
      <c r="G2246" t="str">
        <f>"03"</f>
        <v>03</v>
      </c>
      <c r="H2246" t="str">
        <f>"0  "</f>
        <v xml:space="preserve">0  </v>
      </c>
      <c r="I2246" t="str">
        <f>"2020/09/22"</f>
        <v>2020/09/22</v>
      </c>
      <c r="J2246" t="str">
        <f>"420"</f>
        <v>420</v>
      </c>
      <c r="K2246" t="s">
        <v>18</v>
      </c>
      <c r="L2246" t="s">
        <v>18</v>
      </c>
      <c r="M2246" t="s">
        <v>18</v>
      </c>
    </row>
    <row r="2247" spans="1:13" x14ac:dyDescent="0.25">
      <c r="A2247" t="str">
        <f>"00171250"</f>
        <v>00171250</v>
      </c>
      <c r="B2247" t="s">
        <v>2061</v>
      </c>
      <c r="C2247" t="s">
        <v>246</v>
      </c>
      <c r="D2247" t="s">
        <v>15</v>
      </c>
      <c r="E2247" t="s">
        <v>26</v>
      </c>
      <c r="F2247" t="s">
        <v>17</v>
      </c>
      <c r="G2247" t="str">
        <f>"03"</f>
        <v>03</v>
      </c>
      <c r="H2247" t="str">
        <f>"3  "</f>
        <v xml:space="preserve">3  </v>
      </c>
      <c r="I2247" t="str">
        <f>"1992/07/16"</f>
        <v>1992/07/16</v>
      </c>
      <c r="J2247" t="str">
        <f>"110"</f>
        <v>110</v>
      </c>
      <c r="K2247" t="str">
        <f>"20210818"</f>
        <v>20210818</v>
      </c>
      <c r="L2247" t="s">
        <v>18</v>
      </c>
      <c r="M2247" t="str">
        <f>"19910606"</f>
        <v>19910606</v>
      </c>
    </row>
    <row r="2248" spans="1:13" x14ac:dyDescent="0.25">
      <c r="A2248" t="str">
        <f>"00290720"</f>
        <v>00290720</v>
      </c>
      <c r="B2248" t="s">
        <v>2061</v>
      </c>
      <c r="C2248" t="s">
        <v>442</v>
      </c>
      <c r="D2248" t="s">
        <v>97</v>
      </c>
      <c r="E2248" t="s">
        <v>26</v>
      </c>
      <c r="F2248" t="s">
        <v>17</v>
      </c>
      <c r="G2248" t="str">
        <f>"03"</f>
        <v>03</v>
      </c>
      <c r="H2248" t="str">
        <f>"3  "</f>
        <v xml:space="preserve">3  </v>
      </c>
      <c r="I2248" t="str">
        <f>"2015/09/17"</f>
        <v>2015/09/17</v>
      </c>
      <c r="J2248" t="str">
        <f>"110"</f>
        <v>110</v>
      </c>
      <c r="K2248" t="str">
        <f>"20360107"</f>
        <v>20360107</v>
      </c>
      <c r="L2248" t="s">
        <v>18</v>
      </c>
      <c r="M2248" t="str">
        <f>"20131210"</f>
        <v>20131210</v>
      </c>
    </row>
    <row r="2249" spans="1:13" x14ac:dyDescent="0.25">
      <c r="A2249" t="str">
        <f>"00665067"</f>
        <v>00665067</v>
      </c>
      <c r="B2249" t="s">
        <v>2078</v>
      </c>
      <c r="C2249" t="s">
        <v>762</v>
      </c>
      <c r="D2249" t="s">
        <v>80</v>
      </c>
      <c r="E2249" t="s">
        <v>16</v>
      </c>
      <c r="F2249" t="s">
        <v>17</v>
      </c>
      <c r="G2249" t="str">
        <f>"03"</f>
        <v>03</v>
      </c>
      <c r="H2249" t="str">
        <f>"3  "</f>
        <v xml:space="preserve">3  </v>
      </c>
      <c r="I2249" t="str">
        <f>"2020/02/19"</f>
        <v>2020/02/19</v>
      </c>
      <c r="J2249" t="str">
        <f>"110"</f>
        <v>110</v>
      </c>
      <c r="K2249" t="str">
        <f>"20260626"</f>
        <v>20260626</v>
      </c>
      <c r="L2249" t="s">
        <v>18</v>
      </c>
      <c r="M2249" t="str">
        <f>"20200130"</f>
        <v>20200130</v>
      </c>
    </row>
    <row r="2250" spans="1:13" x14ac:dyDescent="0.25">
      <c r="A2250" t="str">
        <f>"00371475"</f>
        <v>00371475</v>
      </c>
      <c r="B2250" t="s">
        <v>2082</v>
      </c>
      <c r="C2250" t="s">
        <v>2083</v>
      </c>
      <c r="D2250" t="s">
        <v>53</v>
      </c>
      <c r="E2250" t="s">
        <v>16</v>
      </c>
      <c r="F2250" t="s">
        <v>17</v>
      </c>
      <c r="G2250" t="str">
        <f>"03"</f>
        <v>03</v>
      </c>
      <c r="H2250" t="str">
        <f>"0  "</f>
        <v xml:space="preserve">0  </v>
      </c>
      <c r="I2250" t="str">
        <f>"2020/08/10"</f>
        <v>2020/08/10</v>
      </c>
      <c r="J2250" t="str">
        <f>"512"</f>
        <v>512</v>
      </c>
      <c r="K2250" t="s">
        <v>18</v>
      </c>
      <c r="L2250" t="s">
        <v>18</v>
      </c>
      <c r="M2250" t="s">
        <v>18</v>
      </c>
    </row>
    <row r="2251" spans="1:13" x14ac:dyDescent="0.25">
      <c r="A2251" t="str">
        <f>"00555767"</f>
        <v>00555767</v>
      </c>
      <c r="B2251" t="s">
        <v>2085</v>
      </c>
      <c r="C2251" t="s">
        <v>2086</v>
      </c>
      <c r="D2251" t="s">
        <v>53</v>
      </c>
      <c r="E2251" t="s">
        <v>26</v>
      </c>
      <c r="F2251" t="s">
        <v>17</v>
      </c>
      <c r="G2251" t="str">
        <f>"03"</f>
        <v>03</v>
      </c>
      <c r="H2251" t="str">
        <f>"1  "</f>
        <v xml:space="preserve">1  </v>
      </c>
      <c r="I2251" t="str">
        <f>"2020/07/30"</f>
        <v>2020/07/30</v>
      </c>
      <c r="J2251" t="str">
        <f>"110"</f>
        <v>110</v>
      </c>
      <c r="K2251" t="str">
        <f>"20201101"</f>
        <v>20201101</v>
      </c>
      <c r="L2251" t="s">
        <v>18</v>
      </c>
      <c r="M2251" t="str">
        <f>"20200514"</f>
        <v>20200514</v>
      </c>
    </row>
    <row r="2252" spans="1:13" x14ac:dyDescent="0.25">
      <c r="A2252" t="str">
        <f>"00894786"</f>
        <v>00894786</v>
      </c>
      <c r="B2252" t="s">
        <v>2085</v>
      </c>
      <c r="C2252" t="s">
        <v>22</v>
      </c>
      <c r="D2252" t="s">
        <v>25</v>
      </c>
      <c r="E2252" t="s">
        <v>26</v>
      </c>
      <c r="F2252" t="s">
        <v>17</v>
      </c>
      <c r="G2252" t="str">
        <f>"03"</f>
        <v>03</v>
      </c>
      <c r="H2252" t="str">
        <f>"3  "</f>
        <v xml:space="preserve">3  </v>
      </c>
      <c r="I2252" t="str">
        <f>"2020/09/15"</f>
        <v>2020/09/15</v>
      </c>
      <c r="J2252" t="str">
        <f>"502"</f>
        <v>502</v>
      </c>
      <c r="K2252" t="str">
        <f>"20220203"</f>
        <v>20220203</v>
      </c>
      <c r="L2252" t="s">
        <v>18</v>
      </c>
      <c r="M2252" t="str">
        <f>"20190517"</f>
        <v>20190517</v>
      </c>
    </row>
    <row r="2253" spans="1:13" x14ac:dyDescent="0.25">
      <c r="A2253" t="str">
        <f>"00087051"</f>
        <v>00087051</v>
      </c>
      <c r="B2253" t="s">
        <v>2085</v>
      </c>
      <c r="C2253" t="s">
        <v>2089</v>
      </c>
      <c r="D2253" t="s">
        <v>15</v>
      </c>
      <c r="E2253" t="s">
        <v>26</v>
      </c>
      <c r="F2253" t="s">
        <v>17</v>
      </c>
      <c r="G2253" t="str">
        <f>"03"</f>
        <v>03</v>
      </c>
      <c r="H2253" t="str">
        <f>"3  "</f>
        <v xml:space="preserve">3  </v>
      </c>
      <c r="I2253" t="str">
        <f>"2020/09/03"</f>
        <v>2020/09/03</v>
      </c>
      <c r="J2253" t="str">
        <f>"502"</f>
        <v>502</v>
      </c>
      <c r="K2253" t="str">
        <f>"20230630"</f>
        <v>20230630</v>
      </c>
      <c r="L2253" t="s">
        <v>18</v>
      </c>
      <c r="M2253" t="str">
        <f>"20090201"</f>
        <v>20090201</v>
      </c>
    </row>
    <row r="2254" spans="1:13" x14ac:dyDescent="0.25">
      <c r="A2254" t="str">
        <f>"00543917"</f>
        <v>00543917</v>
      </c>
      <c r="B2254" t="s">
        <v>2097</v>
      </c>
      <c r="C2254" t="s">
        <v>148</v>
      </c>
      <c r="D2254" t="s">
        <v>15</v>
      </c>
      <c r="E2254" t="s">
        <v>16</v>
      </c>
      <c r="F2254" t="s">
        <v>17</v>
      </c>
      <c r="G2254" t="str">
        <f>"03"</f>
        <v>03</v>
      </c>
      <c r="H2254" t="str">
        <f>"1  "</f>
        <v xml:space="preserve">1  </v>
      </c>
      <c r="I2254" t="str">
        <f>"2020/07/05"</f>
        <v>2020/07/05</v>
      </c>
      <c r="J2254" t="str">
        <f>"120"</f>
        <v>120</v>
      </c>
      <c r="K2254" t="str">
        <f>"20201210"</f>
        <v>20201210</v>
      </c>
      <c r="L2254" t="s">
        <v>18</v>
      </c>
      <c r="M2254" t="str">
        <f>"20200623"</f>
        <v>20200623</v>
      </c>
    </row>
    <row r="2255" spans="1:13" x14ac:dyDescent="0.25">
      <c r="A2255" t="str">
        <f>"00417868"</f>
        <v>00417868</v>
      </c>
      <c r="B2255" t="s">
        <v>2098</v>
      </c>
      <c r="C2255" t="s">
        <v>785</v>
      </c>
      <c r="D2255" t="s">
        <v>45</v>
      </c>
      <c r="E2255" t="s">
        <v>26</v>
      </c>
      <c r="F2255" t="s">
        <v>17</v>
      </c>
      <c r="G2255" t="str">
        <f>"03"</f>
        <v>03</v>
      </c>
      <c r="H2255" t="str">
        <f>"0  "</f>
        <v xml:space="preserve">0  </v>
      </c>
      <c r="I2255" t="str">
        <f>"2020/09/08"</f>
        <v>2020/09/08</v>
      </c>
      <c r="J2255" t="str">
        <f>"512"</f>
        <v>512</v>
      </c>
      <c r="K2255" t="s">
        <v>18</v>
      </c>
      <c r="L2255" t="s">
        <v>18</v>
      </c>
      <c r="M2255" t="s">
        <v>18</v>
      </c>
    </row>
    <row r="2256" spans="1:13" x14ac:dyDescent="0.25">
      <c r="A2256" t="str">
        <f>"00742941"</f>
        <v>00742941</v>
      </c>
      <c r="B2256" t="s">
        <v>2103</v>
      </c>
      <c r="C2256" t="s">
        <v>1339</v>
      </c>
      <c r="D2256" t="s">
        <v>15</v>
      </c>
      <c r="E2256" t="s">
        <v>26</v>
      </c>
      <c r="F2256" t="s">
        <v>17</v>
      </c>
      <c r="G2256" t="str">
        <f>"03"</f>
        <v>03</v>
      </c>
      <c r="H2256" t="str">
        <f>"0  "</f>
        <v xml:space="preserve">0  </v>
      </c>
      <c r="I2256" t="str">
        <f>"2020/09/19"</f>
        <v>2020/09/19</v>
      </c>
      <c r="J2256" t="str">
        <f>"410"</f>
        <v>410</v>
      </c>
      <c r="K2256" t="s">
        <v>18</v>
      </c>
      <c r="L2256" t="s">
        <v>18</v>
      </c>
      <c r="M2256" t="s">
        <v>18</v>
      </c>
    </row>
    <row r="2257" spans="1:13" x14ac:dyDescent="0.25">
      <c r="A2257" t="str">
        <f>"00437358"</f>
        <v>00437358</v>
      </c>
      <c r="B2257" t="s">
        <v>2103</v>
      </c>
      <c r="C2257" t="s">
        <v>118</v>
      </c>
      <c r="D2257" t="s">
        <v>21</v>
      </c>
      <c r="E2257" t="s">
        <v>26</v>
      </c>
      <c r="F2257" t="s">
        <v>17</v>
      </c>
      <c r="G2257" t="str">
        <f>"03"</f>
        <v>03</v>
      </c>
      <c r="H2257" t="str">
        <f>"3  "</f>
        <v xml:space="preserve">3  </v>
      </c>
      <c r="I2257" t="str">
        <f>"2019/05/30"</f>
        <v>2019/05/30</v>
      </c>
      <c r="J2257" t="str">
        <f>"110"</f>
        <v>110</v>
      </c>
      <c r="K2257" t="str">
        <f>"20211211"</f>
        <v>20211211</v>
      </c>
      <c r="L2257" t="s">
        <v>18</v>
      </c>
      <c r="M2257" t="str">
        <f>"20190429"</f>
        <v>20190429</v>
      </c>
    </row>
    <row r="2258" spans="1:13" x14ac:dyDescent="0.25">
      <c r="A2258" t="str">
        <f>"00341530"</f>
        <v>00341530</v>
      </c>
      <c r="B2258" t="s">
        <v>2103</v>
      </c>
      <c r="C2258" t="s">
        <v>246</v>
      </c>
      <c r="D2258" t="s">
        <v>25</v>
      </c>
      <c r="E2258" t="s">
        <v>26</v>
      </c>
      <c r="F2258" t="s">
        <v>17</v>
      </c>
      <c r="G2258" t="str">
        <f>"03"</f>
        <v>03</v>
      </c>
      <c r="H2258" t="str">
        <f>"0  "</f>
        <v xml:space="preserve">0  </v>
      </c>
      <c r="I2258" t="str">
        <f>"2020/09/03"</f>
        <v>2020/09/03</v>
      </c>
      <c r="J2258" t="str">
        <f>"410"</f>
        <v>410</v>
      </c>
      <c r="K2258" t="s">
        <v>18</v>
      </c>
      <c r="L2258" t="s">
        <v>18</v>
      </c>
      <c r="M2258" t="s">
        <v>18</v>
      </c>
    </row>
    <row r="2259" spans="1:13" x14ac:dyDescent="0.25">
      <c r="A2259" t="str">
        <f>"00746164"</f>
        <v>00746164</v>
      </c>
      <c r="B2259" t="s">
        <v>2103</v>
      </c>
      <c r="C2259" t="s">
        <v>2112</v>
      </c>
      <c r="D2259" t="s">
        <v>21</v>
      </c>
      <c r="E2259" t="s">
        <v>26</v>
      </c>
      <c r="F2259" t="s">
        <v>17</v>
      </c>
      <c r="G2259" t="str">
        <f>"03"</f>
        <v>03</v>
      </c>
      <c r="H2259" t="str">
        <f>"0  "</f>
        <v xml:space="preserve">0  </v>
      </c>
      <c r="I2259" t="str">
        <f>"2020/08/21"</f>
        <v>2020/08/21</v>
      </c>
      <c r="J2259" t="str">
        <f>"410"</f>
        <v>410</v>
      </c>
      <c r="K2259" t="s">
        <v>18</v>
      </c>
      <c r="L2259" t="s">
        <v>18</v>
      </c>
      <c r="M2259" t="s">
        <v>18</v>
      </c>
    </row>
    <row r="2260" spans="1:13" x14ac:dyDescent="0.25">
      <c r="A2260" t="str">
        <f>"00751966"</f>
        <v>00751966</v>
      </c>
      <c r="B2260" t="s">
        <v>2103</v>
      </c>
      <c r="C2260" t="s">
        <v>649</v>
      </c>
      <c r="D2260" t="s">
        <v>45</v>
      </c>
      <c r="E2260" t="s">
        <v>26</v>
      </c>
      <c r="F2260" t="s">
        <v>17</v>
      </c>
      <c r="G2260" t="str">
        <f>"03"</f>
        <v>03</v>
      </c>
      <c r="H2260" t="str">
        <f>"1  "</f>
        <v xml:space="preserve">1  </v>
      </c>
      <c r="I2260" t="str">
        <f>"2020/07/24"</f>
        <v>2020/07/24</v>
      </c>
      <c r="J2260" t="str">
        <f>"502"</f>
        <v>502</v>
      </c>
      <c r="K2260" t="str">
        <f>"20210105"</f>
        <v>20210105</v>
      </c>
      <c r="L2260" t="s">
        <v>18</v>
      </c>
      <c r="M2260" t="str">
        <f>"20200130"</f>
        <v>20200130</v>
      </c>
    </row>
    <row r="2261" spans="1:13" x14ac:dyDescent="0.25">
      <c r="A2261" t="str">
        <f>"00249748"</f>
        <v>00249748</v>
      </c>
      <c r="B2261" t="s">
        <v>2103</v>
      </c>
      <c r="C2261" t="s">
        <v>2117</v>
      </c>
      <c r="D2261" t="s">
        <v>26</v>
      </c>
      <c r="E2261" t="s">
        <v>26</v>
      </c>
      <c r="F2261" t="s">
        <v>17</v>
      </c>
      <c r="G2261" t="str">
        <f>"03"</f>
        <v>03</v>
      </c>
      <c r="H2261" t="str">
        <f>"3  "</f>
        <v xml:space="preserve">3  </v>
      </c>
      <c r="I2261" t="str">
        <f>"2020/01/06"</f>
        <v>2020/01/06</v>
      </c>
      <c r="J2261" t="str">
        <f>"110"</f>
        <v>110</v>
      </c>
      <c r="K2261" t="str">
        <f>"20281203"</f>
        <v>20281203</v>
      </c>
      <c r="L2261" t="s">
        <v>18</v>
      </c>
      <c r="M2261" t="str">
        <f>"20191222"</f>
        <v>20191222</v>
      </c>
    </row>
    <row r="2262" spans="1:13" x14ac:dyDescent="0.25">
      <c r="A2262" t="str">
        <f>"00108660"</f>
        <v>00108660</v>
      </c>
      <c r="B2262" t="s">
        <v>2103</v>
      </c>
      <c r="C2262" t="s">
        <v>555</v>
      </c>
      <c r="D2262" t="s">
        <v>37</v>
      </c>
      <c r="E2262" t="s">
        <v>16</v>
      </c>
      <c r="F2262" t="s">
        <v>17</v>
      </c>
      <c r="G2262" t="str">
        <f>"03"</f>
        <v>03</v>
      </c>
      <c r="H2262" t="str">
        <f>"7  "</f>
        <v xml:space="preserve">7  </v>
      </c>
      <c r="I2262" t="str">
        <f>"1982/04/20"</f>
        <v>1982/04/20</v>
      </c>
      <c r="J2262" t="str">
        <f>"114"</f>
        <v>114</v>
      </c>
      <c r="K2262" t="s">
        <v>18</v>
      </c>
      <c r="L2262" t="str">
        <f>"20201118"</f>
        <v>20201118</v>
      </c>
      <c r="M2262" t="str">
        <f>"19810321"</f>
        <v>19810321</v>
      </c>
    </row>
    <row r="2263" spans="1:13" x14ac:dyDescent="0.25">
      <c r="A2263" t="str">
        <f>"00622395"</f>
        <v>00622395</v>
      </c>
      <c r="B2263" t="s">
        <v>2103</v>
      </c>
      <c r="C2263" t="s">
        <v>1609</v>
      </c>
      <c r="D2263" t="s">
        <v>61</v>
      </c>
      <c r="E2263" t="s">
        <v>26</v>
      </c>
      <c r="F2263" t="s">
        <v>17</v>
      </c>
      <c r="G2263" t="str">
        <f>"03"</f>
        <v>03</v>
      </c>
      <c r="H2263" t="str">
        <f>"3  "</f>
        <v xml:space="preserve">3  </v>
      </c>
      <c r="I2263" t="str">
        <f>"2020/07/24"</f>
        <v>2020/07/24</v>
      </c>
      <c r="J2263" t="str">
        <f>"502"</f>
        <v>502</v>
      </c>
      <c r="K2263" t="str">
        <f>"20210221"</f>
        <v>20210221</v>
      </c>
      <c r="L2263" t="s">
        <v>18</v>
      </c>
      <c r="M2263" t="str">
        <f>"20190427"</f>
        <v>20190427</v>
      </c>
    </row>
    <row r="2264" spans="1:13" x14ac:dyDescent="0.25">
      <c r="A2264" t="str">
        <f>"00102689"</f>
        <v>00102689</v>
      </c>
      <c r="B2264" t="s">
        <v>2122</v>
      </c>
      <c r="C2264" t="s">
        <v>2123</v>
      </c>
      <c r="D2264" t="s">
        <v>61</v>
      </c>
      <c r="E2264" t="s">
        <v>26</v>
      </c>
      <c r="F2264" t="s">
        <v>17</v>
      </c>
      <c r="G2264" t="str">
        <f>"03"</f>
        <v>03</v>
      </c>
      <c r="H2264" t="str">
        <f>"0  "</f>
        <v xml:space="preserve">0  </v>
      </c>
      <c r="I2264" t="str">
        <f>"2020/09/19"</f>
        <v>2020/09/19</v>
      </c>
      <c r="J2264" t="str">
        <f>"420"</f>
        <v>420</v>
      </c>
      <c r="K2264" t="s">
        <v>18</v>
      </c>
      <c r="L2264" t="s">
        <v>18</v>
      </c>
      <c r="M2264" t="s">
        <v>18</v>
      </c>
    </row>
    <row r="2265" spans="1:13" x14ac:dyDescent="0.25">
      <c r="A2265" t="str">
        <f>"00598182"</f>
        <v>00598182</v>
      </c>
      <c r="B2265" t="s">
        <v>2122</v>
      </c>
      <c r="C2265" t="s">
        <v>2126</v>
      </c>
      <c r="D2265" t="s">
        <v>25</v>
      </c>
      <c r="E2265" t="s">
        <v>26</v>
      </c>
      <c r="F2265" t="s">
        <v>17</v>
      </c>
      <c r="G2265" t="str">
        <f>"03"</f>
        <v>03</v>
      </c>
      <c r="H2265" t="str">
        <f>"0  "</f>
        <v xml:space="preserve">0  </v>
      </c>
      <c r="I2265" t="str">
        <f>"2020/09/22"</f>
        <v>2020/09/22</v>
      </c>
      <c r="J2265" t="str">
        <f>"410"</f>
        <v>410</v>
      </c>
      <c r="K2265" t="s">
        <v>18</v>
      </c>
      <c r="L2265" t="s">
        <v>18</v>
      </c>
      <c r="M2265" t="s">
        <v>18</v>
      </c>
    </row>
    <row r="2266" spans="1:13" x14ac:dyDescent="0.25">
      <c r="A2266" t="str">
        <f>"00398619"</f>
        <v>00398619</v>
      </c>
      <c r="B2266" t="s">
        <v>2122</v>
      </c>
      <c r="C2266" t="s">
        <v>897</v>
      </c>
      <c r="D2266" t="s">
        <v>73</v>
      </c>
      <c r="E2266" t="s">
        <v>26</v>
      </c>
      <c r="F2266" t="s">
        <v>17</v>
      </c>
      <c r="G2266" t="str">
        <f>"03"</f>
        <v>03</v>
      </c>
      <c r="H2266" t="str">
        <f>"0  "</f>
        <v xml:space="preserve">0  </v>
      </c>
      <c r="I2266" t="str">
        <f>"2020/09/06"</f>
        <v>2020/09/06</v>
      </c>
      <c r="J2266" t="str">
        <f>"410"</f>
        <v>410</v>
      </c>
      <c r="K2266" t="s">
        <v>18</v>
      </c>
      <c r="L2266" t="s">
        <v>18</v>
      </c>
      <c r="M2266" t="s">
        <v>18</v>
      </c>
    </row>
    <row r="2267" spans="1:13" x14ac:dyDescent="0.25">
      <c r="A2267" t="str">
        <f>"00688751"</f>
        <v>00688751</v>
      </c>
      <c r="B2267" t="s">
        <v>2122</v>
      </c>
      <c r="C2267" t="s">
        <v>384</v>
      </c>
      <c r="D2267" t="s">
        <v>31</v>
      </c>
      <c r="E2267" t="s">
        <v>26</v>
      </c>
      <c r="F2267" t="s">
        <v>17</v>
      </c>
      <c r="G2267" t="str">
        <f>"03"</f>
        <v>03</v>
      </c>
      <c r="H2267" t="str">
        <f>"3  "</f>
        <v xml:space="preserve">3  </v>
      </c>
      <c r="I2267" t="str">
        <f>"2019/12/10"</f>
        <v>2019/12/10</v>
      </c>
      <c r="J2267" t="str">
        <f>"512"</f>
        <v>512</v>
      </c>
      <c r="K2267" t="str">
        <f>"20220726"</f>
        <v>20220726</v>
      </c>
      <c r="L2267" t="s">
        <v>18</v>
      </c>
      <c r="M2267" t="str">
        <f>"20191209"</f>
        <v>20191209</v>
      </c>
    </row>
    <row r="2268" spans="1:13" x14ac:dyDescent="0.25">
      <c r="A2268" t="str">
        <f>"00266467"</f>
        <v>00266467</v>
      </c>
      <c r="B2268" t="s">
        <v>2122</v>
      </c>
      <c r="C2268" t="s">
        <v>246</v>
      </c>
      <c r="D2268" t="s">
        <v>25</v>
      </c>
      <c r="E2268" t="s">
        <v>26</v>
      </c>
      <c r="F2268" t="s">
        <v>17</v>
      </c>
      <c r="G2268" t="str">
        <f>"03"</f>
        <v>03</v>
      </c>
      <c r="H2268" t="str">
        <f>"0  "</f>
        <v xml:space="preserve">0  </v>
      </c>
      <c r="I2268" t="str">
        <f>"2020/01/14"</f>
        <v>2020/01/14</v>
      </c>
      <c r="J2268" t="str">
        <f>"410"</f>
        <v>410</v>
      </c>
      <c r="K2268" t="s">
        <v>18</v>
      </c>
      <c r="L2268" t="s">
        <v>18</v>
      </c>
      <c r="M2268" t="s">
        <v>18</v>
      </c>
    </row>
    <row r="2269" spans="1:13" x14ac:dyDescent="0.25">
      <c r="A2269" t="str">
        <f>"00491680"</f>
        <v>00491680</v>
      </c>
      <c r="B2269" t="s">
        <v>2122</v>
      </c>
      <c r="C2269" t="s">
        <v>1207</v>
      </c>
      <c r="D2269" t="s">
        <v>15</v>
      </c>
      <c r="E2269" t="s">
        <v>26</v>
      </c>
      <c r="F2269" t="s">
        <v>17</v>
      </c>
      <c r="G2269" t="str">
        <f>"03"</f>
        <v>03</v>
      </c>
      <c r="H2269" t="str">
        <f>"0  "</f>
        <v xml:space="preserve">0  </v>
      </c>
      <c r="I2269" t="str">
        <f>"2020/02/14"</f>
        <v>2020/02/14</v>
      </c>
      <c r="J2269" t="str">
        <f>"410"</f>
        <v>410</v>
      </c>
      <c r="K2269" t="s">
        <v>18</v>
      </c>
      <c r="L2269" t="s">
        <v>18</v>
      </c>
      <c r="M2269" t="s">
        <v>18</v>
      </c>
    </row>
    <row r="2270" spans="1:13" x14ac:dyDescent="0.25">
      <c r="A2270" t="str">
        <f>"00404991"</f>
        <v>00404991</v>
      </c>
      <c r="B2270" t="s">
        <v>2122</v>
      </c>
      <c r="C2270" t="s">
        <v>397</v>
      </c>
      <c r="D2270" t="s">
        <v>61</v>
      </c>
      <c r="E2270" t="s">
        <v>16</v>
      </c>
      <c r="F2270" t="s">
        <v>17</v>
      </c>
      <c r="G2270" t="str">
        <f>"03"</f>
        <v>03</v>
      </c>
      <c r="H2270" t="str">
        <f>"3  "</f>
        <v xml:space="preserve">3  </v>
      </c>
      <c r="I2270" t="str">
        <f>"2020/09/16"</f>
        <v>2020/09/16</v>
      </c>
      <c r="J2270" t="str">
        <f>"502"</f>
        <v>502</v>
      </c>
      <c r="K2270" t="str">
        <f>"20370606"</f>
        <v>20370606</v>
      </c>
      <c r="L2270" t="s">
        <v>18</v>
      </c>
      <c r="M2270" t="str">
        <f>"20071007"</f>
        <v>20071007</v>
      </c>
    </row>
    <row r="2271" spans="1:13" x14ac:dyDescent="0.25">
      <c r="A2271" t="str">
        <f>"00541684"</f>
        <v>00541684</v>
      </c>
      <c r="B2271" t="s">
        <v>2122</v>
      </c>
      <c r="C2271" t="s">
        <v>2135</v>
      </c>
      <c r="D2271" t="s">
        <v>40</v>
      </c>
      <c r="E2271" t="s">
        <v>26</v>
      </c>
      <c r="F2271" t="s">
        <v>17</v>
      </c>
      <c r="G2271" t="str">
        <f>"03"</f>
        <v>03</v>
      </c>
      <c r="H2271" t="str">
        <f>"3  "</f>
        <v xml:space="preserve">3  </v>
      </c>
      <c r="I2271" t="str">
        <f>"2018/09/14"</f>
        <v>2018/09/14</v>
      </c>
      <c r="J2271" t="str">
        <f>"110"</f>
        <v>110</v>
      </c>
      <c r="K2271" t="str">
        <f>"20230425"</f>
        <v>20230425</v>
      </c>
      <c r="L2271" t="s">
        <v>18</v>
      </c>
      <c r="M2271" t="str">
        <f>"20180201"</f>
        <v>20180201</v>
      </c>
    </row>
    <row r="2272" spans="1:13" x14ac:dyDescent="0.25">
      <c r="A2272" t="str">
        <f>"00318387"</f>
        <v>00318387</v>
      </c>
      <c r="B2272" t="s">
        <v>2122</v>
      </c>
      <c r="C2272" t="s">
        <v>714</v>
      </c>
      <c r="D2272" t="s">
        <v>51</v>
      </c>
      <c r="E2272" t="s">
        <v>26</v>
      </c>
      <c r="F2272" t="s">
        <v>17</v>
      </c>
      <c r="G2272" t="str">
        <f>"03"</f>
        <v>03</v>
      </c>
      <c r="H2272" t="str">
        <f>"0  "</f>
        <v xml:space="preserve">0  </v>
      </c>
      <c r="I2272" t="str">
        <f>"2019/12/21"</f>
        <v>2019/12/21</v>
      </c>
      <c r="J2272" t="str">
        <f>"410"</f>
        <v>410</v>
      </c>
      <c r="K2272" t="s">
        <v>18</v>
      </c>
      <c r="L2272" t="s">
        <v>18</v>
      </c>
      <c r="M2272" t="s">
        <v>18</v>
      </c>
    </row>
    <row r="2273" spans="1:13" x14ac:dyDescent="0.25">
      <c r="A2273" t="str">
        <f>"00218740"</f>
        <v>00218740</v>
      </c>
      <c r="B2273" t="s">
        <v>2122</v>
      </c>
      <c r="C2273" t="s">
        <v>402</v>
      </c>
      <c r="D2273" t="s">
        <v>15</v>
      </c>
      <c r="E2273" t="s">
        <v>26</v>
      </c>
      <c r="F2273" t="s">
        <v>17</v>
      </c>
      <c r="G2273" t="str">
        <f>"03"</f>
        <v>03</v>
      </c>
      <c r="H2273" t="str">
        <f>"3  "</f>
        <v xml:space="preserve">3  </v>
      </c>
      <c r="I2273" t="str">
        <f>"2020/08/20"</f>
        <v>2020/08/20</v>
      </c>
      <c r="J2273" t="str">
        <f>"120"</f>
        <v>120</v>
      </c>
      <c r="K2273" t="str">
        <f>"20221219"</f>
        <v>20221219</v>
      </c>
      <c r="L2273" t="s">
        <v>18</v>
      </c>
      <c r="M2273" t="str">
        <f>"20200618"</f>
        <v>20200618</v>
      </c>
    </row>
    <row r="2274" spans="1:13" x14ac:dyDescent="0.25">
      <c r="A2274" t="str">
        <f>"00531415"</f>
        <v>00531415</v>
      </c>
      <c r="B2274" t="s">
        <v>2122</v>
      </c>
      <c r="C2274" t="s">
        <v>2142</v>
      </c>
      <c r="D2274" t="s">
        <v>51</v>
      </c>
      <c r="E2274" t="s">
        <v>26</v>
      </c>
      <c r="F2274" t="s">
        <v>17</v>
      </c>
      <c r="G2274" t="str">
        <f>"03"</f>
        <v>03</v>
      </c>
      <c r="H2274" t="str">
        <f>"3  "</f>
        <v xml:space="preserve">3  </v>
      </c>
      <c r="I2274" t="str">
        <f>"2019/10/11"</f>
        <v>2019/10/11</v>
      </c>
      <c r="J2274" t="str">
        <f>"110"</f>
        <v>110</v>
      </c>
      <c r="K2274" t="str">
        <f>"20260828"</f>
        <v>20260828</v>
      </c>
      <c r="L2274" t="s">
        <v>18</v>
      </c>
      <c r="M2274" t="str">
        <f>"20190604"</f>
        <v>20190604</v>
      </c>
    </row>
    <row r="2275" spans="1:13" x14ac:dyDescent="0.25">
      <c r="A2275" t="str">
        <f>"00209792"</f>
        <v>00209792</v>
      </c>
      <c r="B2275" t="s">
        <v>2144</v>
      </c>
      <c r="C2275" t="s">
        <v>308</v>
      </c>
      <c r="D2275" t="s">
        <v>51</v>
      </c>
      <c r="E2275" t="s">
        <v>16</v>
      </c>
      <c r="F2275" t="s">
        <v>17</v>
      </c>
      <c r="G2275" t="str">
        <f>"03"</f>
        <v>03</v>
      </c>
      <c r="H2275" t="str">
        <f>"0  "</f>
        <v xml:space="preserve">0  </v>
      </c>
      <c r="I2275" t="str">
        <f>"2020/09/09"</f>
        <v>2020/09/09</v>
      </c>
      <c r="J2275" t="str">
        <f>"502"</f>
        <v>502</v>
      </c>
      <c r="K2275" t="s">
        <v>18</v>
      </c>
      <c r="L2275" t="s">
        <v>18</v>
      </c>
      <c r="M2275" t="s">
        <v>18</v>
      </c>
    </row>
    <row r="2276" spans="1:13" x14ac:dyDescent="0.25">
      <c r="A2276" t="str">
        <f>"00197562"</f>
        <v>00197562</v>
      </c>
      <c r="B2276" t="s">
        <v>2146</v>
      </c>
      <c r="C2276" t="s">
        <v>74</v>
      </c>
      <c r="D2276" t="s">
        <v>16</v>
      </c>
      <c r="E2276" t="s">
        <v>16</v>
      </c>
      <c r="F2276" t="s">
        <v>17</v>
      </c>
      <c r="G2276" t="str">
        <f>"03"</f>
        <v>03</v>
      </c>
      <c r="H2276" t="str">
        <f>"3  "</f>
        <v xml:space="preserve">3  </v>
      </c>
      <c r="I2276" t="str">
        <f>"2020/01/29"</f>
        <v>2020/01/29</v>
      </c>
      <c r="J2276" t="str">
        <f>"110"</f>
        <v>110</v>
      </c>
      <c r="K2276" t="str">
        <f>"20210901"</f>
        <v>20210901</v>
      </c>
      <c r="L2276" t="str">
        <f>"20210204"</f>
        <v>20210204</v>
      </c>
      <c r="M2276" t="str">
        <f>"20200123"</f>
        <v>20200123</v>
      </c>
    </row>
    <row r="2277" spans="1:13" x14ac:dyDescent="0.25">
      <c r="A2277" t="str">
        <f>"00936085"</f>
        <v>00936085</v>
      </c>
      <c r="B2277" t="s">
        <v>2147</v>
      </c>
      <c r="C2277" t="s">
        <v>2148</v>
      </c>
      <c r="D2277" t="s">
        <v>25</v>
      </c>
      <c r="E2277" t="s">
        <v>16</v>
      </c>
      <c r="F2277" t="s">
        <v>17</v>
      </c>
      <c r="G2277" t="str">
        <f>"03"</f>
        <v>03</v>
      </c>
      <c r="H2277" t="str">
        <f>"0  "</f>
        <v xml:space="preserve">0  </v>
      </c>
      <c r="I2277" t="str">
        <f>"2020/09/01"</f>
        <v>2020/09/01</v>
      </c>
      <c r="J2277" t="str">
        <f>"420"</f>
        <v>420</v>
      </c>
      <c r="K2277" t="s">
        <v>18</v>
      </c>
      <c r="L2277" t="s">
        <v>18</v>
      </c>
      <c r="M2277" t="s">
        <v>18</v>
      </c>
    </row>
    <row r="2278" spans="1:13" x14ac:dyDescent="0.25">
      <c r="A2278" t="str">
        <f>"00732740"</f>
        <v>00732740</v>
      </c>
      <c r="B2278" t="s">
        <v>2149</v>
      </c>
      <c r="C2278" t="s">
        <v>1140</v>
      </c>
      <c r="D2278" t="s">
        <v>21</v>
      </c>
      <c r="E2278" t="s">
        <v>16</v>
      </c>
      <c r="F2278" t="s">
        <v>17</v>
      </c>
      <c r="G2278" t="str">
        <f>"03"</f>
        <v>03</v>
      </c>
      <c r="H2278" t="str">
        <f>"3  "</f>
        <v xml:space="preserve">3  </v>
      </c>
      <c r="I2278" t="str">
        <f>"2015/02/11"</f>
        <v>2015/02/11</v>
      </c>
      <c r="J2278" t="str">
        <f>"534"</f>
        <v>534</v>
      </c>
      <c r="K2278" t="str">
        <f>"20200929"</f>
        <v>20200929</v>
      </c>
      <c r="L2278" t="s">
        <v>18</v>
      </c>
      <c r="M2278" t="str">
        <f>"20130102"</f>
        <v>20130102</v>
      </c>
    </row>
    <row r="2279" spans="1:13" x14ac:dyDescent="0.25">
      <c r="A2279" t="str">
        <f>"00211927"</f>
        <v>00211927</v>
      </c>
      <c r="B2279" t="s">
        <v>2161</v>
      </c>
      <c r="C2279" t="s">
        <v>1339</v>
      </c>
      <c r="D2279" t="s">
        <v>21</v>
      </c>
      <c r="E2279" t="s">
        <v>26</v>
      </c>
      <c r="F2279" t="s">
        <v>17</v>
      </c>
      <c r="G2279" t="str">
        <f>"03"</f>
        <v>03</v>
      </c>
      <c r="H2279" t="str">
        <f>"7  "</f>
        <v xml:space="preserve">7  </v>
      </c>
      <c r="I2279" t="str">
        <f>"2013/01/25"</f>
        <v>2013/01/25</v>
      </c>
      <c r="J2279" t="str">
        <f>"110"</f>
        <v>110</v>
      </c>
      <c r="K2279" t="s">
        <v>18</v>
      </c>
      <c r="L2279" t="s">
        <v>18</v>
      </c>
      <c r="M2279" t="str">
        <f>"20120309"</f>
        <v>20120309</v>
      </c>
    </row>
    <row r="2280" spans="1:13" x14ac:dyDescent="0.25">
      <c r="A2280" t="str">
        <f>"00791901"</f>
        <v>00791901</v>
      </c>
      <c r="B2280" t="s">
        <v>2161</v>
      </c>
      <c r="C2280" t="s">
        <v>2162</v>
      </c>
      <c r="D2280" t="s">
        <v>61</v>
      </c>
      <c r="E2280" t="s">
        <v>26</v>
      </c>
      <c r="F2280" t="s">
        <v>17</v>
      </c>
      <c r="G2280" t="str">
        <f>"03"</f>
        <v>03</v>
      </c>
      <c r="H2280" t="str">
        <f>"0  "</f>
        <v xml:space="preserve">0  </v>
      </c>
      <c r="I2280" t="str">
        <f>"2019/12/14"</f>
        <v>2019/12/14</v>
      </c>
      <c r="J2280" t="str">
        <f>"410"</f>
        <v>410</v>
      </c>
      <c r="K2280" t="s">
        <v>18</v>
      </c>
      <c r="L2280" t="s">
        <v>18</v>
      </c>
      <c r="M2280" t="s">
        <v>18</v>
      </c>
    </row>
    <row r="2281" spans="1:13" x14ac:dyDescent="0.25">
      <c r="A2281" t="str">
        <f>"00735086"</f>
        <v>00735086</v>
      </c>
      <c r="B2281" t="s">
        <v>2170</v>
      </c>
      <c r="C2281" t="s">
        <v>385</v>
      </c>
      <c r="D2281" t="s">
        <v>61</v>
      </c>
      <c r="E2281" t="s">
        <v>16</v>
      </c>
      <c r="F2281" t="s">
        <v>17</v>
      </c>
      <c r="G2281" t="str">
        <f>"03"</f>
        <v>03</v>
      </c>
      <c r="H2281" t="str">
        <f>"3  "</f>
        <v xml:space="preserve">3  </v>
      </c>
      <c r="I2281" t="str">
        <f>"2013/06/28"</f>
        <v>2013/06/28</v>
      </c>
      <c r="J2281" t="str">
        <f>"110"</f>
        <v>110</v>
      </c>
      <c r="K2281" t="str">
        <f>"20251016"</f>
        <v>20251016</v>
      </c>
      <c r="L2281" t="s">
        <v>18</v>
      </c>
      <c r="M2281" t="str">
        <f>"20130118"</f>
        <v>20130118</v>
      </c>
    </row>
    <row r="2282" spans="1:13" x14ac:dyDescent="0.25">
      <c r="A2282" t="str">
        <f>"00485397"</f>
        <v>00485397</v>
      </c>
      <c r="B2282" t="s">
        <v>2171</v>
      </c>
      <c r="C2282" t="s">
        <v>176</v>
      </c>
      <c r="D2282" t="s">
        <v>15</v>
      </c>
      <c r="E2282" t="s">
        <v>16</v>
      </c>
      <c r="F2282" t="s">
        <v>17</v>
      </c>
      <c r="G2282" t="str">
        <f>"03"</f>
        <v>03</v>
      </c>
      <c r="H2282" t="str">
        <f>"3  "</f>
        <v xml:space="preserve">3  </v>
      </c>
      <c r="I2282" t="str">
        <f>"2015/03/03"</f>
        <v>2015/03/03</v>
      </c>
      <c r="J2282" t="str">
        <f>"110"</f>
        <v>110</v>
      </c>
      <c r="K2282" t="str">
        <f>"20230310"</f>
        <v>20230310</v>
      </c>
      <c r="L2282" t="s">
        <v>18</v>
      </c>
      <c r="M2282" t="str">
        <f>"20140928"</f>
        <v>20140928</v>
      </c>
    </row>
    <row r="2283" spans="1:13" x14ac:dyDescent="0.25">
      <c r="A2283" t="str">
        <f>"00739620"</f>
        <v>00739620</v>
      </c>
      <c r="B2283" t="s">
        <v>2177</v>
      </c>
      <c r="C2283" t="s">
        <v>2178</v>
      </c>
      <c r="D2283" t="s">
        <v>26</v>
      </c>
      <c r="E2283" t="s">
        <v>26</v>
      </c>
      <c r="F2283" t="s">
        <v>17</v>
      </c>
      <c r="G2283" t="str">
        <f>"03"</f>
        <v>03</v>
      </c>
      <c r="H2283" t="str">
        <f>"0  "</f>
        <v xml:space="preserve">0  </v>
      </c>
      <c r="I2283" t="str">
        <f>"2020/09/22"</f>
        <v>2020/09/22</v>
      </c>
      <c r="J2283" t="str">
        <f>"420"</f>
        <v>420</v>
      </c>
      <c r="K2283" t="s">
        <v>18</v>
      </c>
      <c r="L2283" t="s">
        <v>18</v>
      </c>
      <c r="M2283" t="s">
        <v>18</v>
      </c>
    </row>
    <row r="2284" spans="1:13" x14ac:dyDescent="0.25">
      <c r="A2284" t="str">
        <f>"00682958"</f>
        <v>00682958</v>
      </c>
      <c r="B2284" t="s">
        <v>2180</v>
      </c>
      <c r="C2284" t="s">
        <v>447</v>
      </c>
      <c r="D2284" t="s">
        <v>91</v>
      </c>
      <c r="E2284" t="s">
        <v>16</v>
      </c>
      <c r="F2284" t="s">
        <v>17</v>
      </c>
      <c r="G2284" t="str">
        <f>"03"</f>
        <v>03</v>
      </c>
      <c r="H2284" t="str">
        <f>"0  "</f>
        <v xml:space="preserve">0  </v>
      </c>
      <c r="I2284" t="str">
        <f>"2020/09/09"</f>
        <v>2020/09/09</v>
      </c>
      <c r="J2284" t="str">
        <f>"410"</f>
        <v>410</v>
      </c>
      <c r="K2284" t="s">
        <v>18</v>
      </c>
      <c r="L2284" t="s">
        <v>18</v>
      </c>
      <c r="M2284" t="s">
        <v>18</v>
      </c>
    </row>
    <row r="2285" spans="1:13" x14ac:dyDescent="0.25">
      <c r="A2285" t="str">
        <f>"00441388"</f>
        <v>00441388</v>
      </c>
      <c r="B2285" t="s">
        <v>2183</v>
      </c>
      <c r="C2285" t="s">
        <v>2184</v>
      </c>
      <c r="D2285" t="s">
        <v>37</v>
      </c>
      <c r="E2285" t="s">
        <v>16</v>
      </c>
      <c r="F2285" t="s">
        <v>17</v>
      </c>
      <c r="G2285" t="str">
        <f>"03"</f>
        <v>03</v>
      </c>
      <c r="H2285" t="str">
        <f>"3  "</f>
        <v xml:space="preserve">3  </v>
      </c>
      <c r="I2285" t="str">
        <f>"2015/01/02"</f>
        <v>2015/01/02</v>
      </c>
      <c r="J2285" t="str">
        <f>"110"</f>
        <v>110</v>
      </c>
      <c r="K2285" t="str">
        <f>"20281128"</f>
        <v>20281128</v>
      </c>
      <c r="L2285" t="s">
        <v>18</v>
      </c>
      <c r="M2285" t="str">
        <f>"20141017"</f>
        <v>20141017</v>
      </c>
    </row>
    <row r="2286" spans="1:13" x14ac:dyDescent="0.25">
      <c r="A2286" t="str">
        <f>"00887233"</f>
        <v>00887233</v>
      </c>
      <c r="B2286" t="s">
        <v>2186</v>
      </c>
      <c r="C2286" t="s">
        <v>2187</v>
      </c>
      <c r="D2286" t="s">
        <v>37</v>
      </c>
      <c r="E2286" t="s">
        <v>16</v>
      </c>
      <c r="F2286" t="s">
        <v>17</v>
      </c>
      <c r="G2286" t="str">
        <f>"03"</f>
        <v>03</v>
      </c>
      <c r="H2286" t="str">
        <f>"0  "</f>
        <v xml:space="preserve">0  </v>
      </c>
      <c r="I2286" t="str">
        <f>"2020/08/26"</f>
        <v>2020/08/26</v>
      </c>
      <c r="J2286" t="str">
        <f>"420"</f>
        <v>420</v>
      </c>
      <c r="K2286" t="s">
        <v>18</v>
      </c>
      <c r="L2286" t="s">
        <v>18</v>
      </c>
      <c r="M2286" t="s">
        <v>18</v>
      </c>
    </row>
    <row r="2287" spans="1:13" x14ac:dyDescent="0.25">
      <c r="A2287" t="str">
        <f>"00908164"</f>
        <v>00908164</v>
      </c>
      <c r="B2287" t="s">
        <v>2190</v>
      </c>
      <c r="C2287" t="s">
        <v>244</v>
      </c>
      <c r="D2287" t="s">
        <v>25</v>
      </c>
      <c r="E2287" t="s">
        <v>26</v>
      </c>
      <c r="F2287" t="s">
        <v>17</v>
      </c>
      <c r="G2287" t="str">
        <f>"03"</f>
        <v>03</v>
      </c>
      <c r="H2287" t="str">
        <f>"3  "</f>
        <v xml:space="preserve">3  </v>
      </c>
      <c r="I2287" t="str">
        <f>"2020/02/03"</f>
        <v>2020/02/03</v>
      </c>
      <c r="J2287" t="str">
        <f>"110"</f>
        <v>110</v>
      </c>
      <c r="K2287" t="str">
        <f>"20220822"</f>
        <v>20220822</v>
      </c>
      <c r="L2287" t="s">
        <v>18</v>
      </c>
      <c r="M2287" t="str">
        <f>"20191202"</f>
        <v>20191202</v>
      </c>
    </row>
    <row r="2288" spans="1:13" x14ac:dyDescent="0.25">
      <c r="A2288" t="str">
        <f>"00218605"</f>
        <v>00218605</v>
      </c>
      <c r="B2288" t="s">
        <v>2195</v>
      </c>
      <c r="C2288" t="s">
        <v>2196</v>
      </c>
      <c r="D2288" t="s">
        <v>51</v>
      </c>
      <c r="E2288" t="s">
        <v>16</v>
      </c>
      <c r="F2288" t="s">
        <v>17</v>
      </c>
      <c r="G2288" t="str">
        <f>"03"</f>
        <v>03</v>
      </c>
      <c r="H2288" t="str">
        <f>"3  "</f>
        <v xml:space="preserve">3  </v>
      </c>
      <c r="I2288" t="str">
        <f>"2019/11/14"</f>
        <v>2019/11/14</v>
      </c>
      <c r="J2288" t="str">
        <f>"110"</f>
        <v>110</v>
      </c>
      <c r="K2288" t="str">
        <f>"20261228"</f>
        <v>20261228</v>
      </c>
      <c r="L2288" t="s">
        <v>18</v>
      </c>
      <c r="M2288" t="str">
        <f>"20190925"</f>
        <v>20190925</v>
      </c>
    </row>
    <row r="2289" spans="1:13" x14ac:dyDescent="0.25">
      <c r="A2289" t="str">
        <f>"00320213"</f>
        <v>00320213</v>
      </c>
      <c r="B2289" t="s">
        <v>2201</v>
      </c>
      <c r="C2289" t="s">
        <v>72</v>
      </c>
      <c r="D2289" t="s">
        <v>51</v>
      </c>
      <c r="E2289" t="s">
        <v>26</v>
      </c>
      <c r="F2289" t="s">
        <v>17</v>
      </c>
      <c r="G2289" t="str">
        <f>"03"</f>
        <v>03</v>
      </c>
      <c r="H2289" t="str">
        <f>"3  "</f>
        <v xml:space="preserve">3  </v>
      </c>
      <c r="I2289" t="str">
        <f>"2020/02/14"</f>
        <v>2020/02/14</v>
      </c>
      <c r="J2289" t="str">
        <f>"110"</f>
        <v>110</v>
      </c>
      <c r="K2289" t="str">
        <f>"20461017"</f>
        <v>20461017</v>
      </c>
      <c r="L2289" t="s">
        <v>18</v>
      </c>
      <c r="M2289" t="str">
        <f>"20190423"</f>
        <v>20190423</v>
      </c>
    </row>
    <row r="2290" spans="1:13" x14ac:dyDescent="0.25">
      <c r="A2290" t="str">
        <f>"00190468"</f>
        <v>00190468</v>
      </c>
      <c r="B2290" t="s">
        <v>2205</v>
      </c>
      <c r="C2290" t="s">
        <v>120</v>
      </c>
      <c r="D2290" t="s">
        <v>16</v>
      </c>
      <c r="E2290" t="s">
        <v>16</v>
      </c>
      <c r="F2290" t="s">
        <v>17</v>
      </c>
      <c r="G2290" t="str">
        <f>"03"</f>
        <v>03</v>
      </c>
      <c r="H2290" t="str">
        <f>"0  "</f>
        <v xml:space="preserve">0  </v>
      </c>
      <c r="I2290" t="str">
        <f>"2020/03/07"</f>
        <v>2020/03/07</v>
      </c>
      <c r="J2290" t="str">
        <f>"420"</f>
        <v>420</v>
      </c>
      <c r="K2290" t="s">
        <v>18</v>
      </c>
      <c r="L2290" t="s">
        <v>18</v>
      </c>
      <c r="M2290" t="s">
        <v>18</v>
      </c>
    </row>
    <row r="2291" spans="1:13" x14ac:dyDescent="0.25">
      <c r="A2291" t="str">
        <f>"00542715"</f>
        <v>00542715</v>
      </c>
      <c r="B2291" t="s">
        <v>2205</v>
      </c>
      <c r="C2291" t="s">
        <v>348</v>
      </c>
      <c r="D2291" t="s">
        <v>80</v>
      </c>
      <c r="E2291" t="s">
        <v>16</v>
      </c>
      <c r="F2291" t="s">
        <v>17</v>
      </c>
      <c r="G2291" t="str">
        <f>"03"</f>
        <v>03</v>
      </c>
      <c r="H2291" t="str">
        <f>"3  "</f>
        <v xml:space="preserve">3  </v>
      </c>
      <c r="I2291" t="str">
        <f>"2019/01/24"</f>
        <v>2019/01/24</v>
      </c>
      <c r="J2291" t="str">
        <f>"110"</f>
        <v>110</v>
      </c>
      <c r="K2291" t="str">
        <f>"20210203"</f>
        <v>20210203</v>
      </c>
      <c r="L2291" t="s">
        <v>18</v>
      </c>
      <c r="M2291" t="str">
        <f>"20180806"</f>
        <v>20180806</v>
      </c>
    </row>
    <row r="2292" spans="1:13" x14ac:dyDescent="0.25">
      <c r="A2292" t="str">
        <f>"00656073"</f>
        <v>00656073</v>
      </c>
      <c r="B2292" t="s">
        <v>2205</v>
      </c>
      <c r="C2292" t="s">
        <v>552</v>
      </c>
      <c r="D2292" t="s">
        <v>31</v>
      </c>
      <c r="E2292" t="s">
        <v>16</v>
      </c>
      <c r="F2292" t="s">
        <v>17</v>
      </c>
      <c r="G2292" t="str">
        <f>"03"</f>
        <v>03</v>
      </c>
      <c r="H2292" t="str">
        <f>"1  "</f>
        <v xml:space="preserve">1  </v>
      </c>
      <c r="I2292" t="str">
        <f>"2020/08/27"</f>
        <v>2020/08/27</v>
      </c>
      <c r="J2292" t="str">
        <f>"120"</f>
        <v>120</v>
      </c>
      <c r="K2292" t="str">
        <f>"20210131"</f>
        <v>20210131</v>
      </c>
      <c r="L2292" t="s">
        <v>18</v>
      </c>
      <c r="M2292" t="str">
        <f>"20200813"</f>
        <v>20200813</v>
      </c>
    </row>
    <row r="2293" spans="1:13" x14ac:dyDescent="0.25">
      <c r="A2293" t="str">
        <f>"00548542"</f>
        <v>00548542</v>
      </c>
      <c r="B2293" t="s">
        <v>2205</v>
      </c>
      <c r="C2293" t="s">
        <v>60</v>
      </c>
      <c r="D2293" t="s">
        <v>61</v>
      </c>
      <c r="E2293" t="s">
        <v>16</v>
      </c>
      <c r="F2293" t="s">
        <v>17</v>
      </c>
      <c r="G2293" t="str">
        <f>"03"</f>
        <v>03</v>
      </c>
      <c r="H2293" t="str">
        <f>"3  "</f>
        <v xml:space="preserve">3  </v>
      </c>
      <c r="I2293" t="str">
        <f>"2020/09/21"</f>
        <v>2020/09/21</v>
      </c>
      <c r="J2293" t="str">
        <f>"505"</f>
        <v>505</v>
      </c>
      <c r="K2293" t="str">
        <f>"20220617"</f>
        <v>20220617</v>
      </c>
      <c r="L2293" t="s">
        <v>18</v>
      </c>
      <c r="M2293" t="str">
        <f>"20200429"</f>
        <v>20200429</v>
      </c>
    </row>
    <row r="2294" spans="1:13" x14ac:dyDescent="0.25">
      <c r="A2294" t="str">
        <f>"00381156"</f>
        <v>00381156</v>
      </c>
      <c r="B2294" t="s">
        <v>2213</v>
      </c>
      <c r="C2294" t="s">
        <v>404</v>
      </c>
      <c r="D2294" t="s">
        <v>80</v>
      </c>
      <c r="E2294" t="s">
        <v>16</v>
      </c>
      <c r="F2294" t="s">
        <v>17</v>
      </c>
      <c r="G2294" t="str">
        <f>"03"</f>
        <v>03</v>
      </c>
      <c r="H2294" t="str">
        <f>"3  "</f>
        <v xml:space="preserve">3  </v>
      </c>
      <c r="I2294" t="str">
        <f>"2020/09/03"</f>
        <v>2020/09/03</v>
      </c>
      <c r="J2294" t="str">
        <f>"502"</f>
        <v>502</v>
      </c>
      <c r="K2294" t="str">
        <f>"20211212"</f>
        <v>20211212</v>
      </c>
      <c r="L2294" t="s">
        <v>18</v>
      </c>
      <c r="M2294" t="str">
        <f>"20200303"</f>
        <v>20200303</v>
      </c>
    </row>
    <row r="2295" spans="1:13" x14ac:dyDescent="0.25">
      <c r="A2295" t="str">
        <f>"00381257"</f>
        <v>00381257</v>
      </c>
      <c r="B2295" t="s">
        <v>2216</v>
      </c>
      <c r="C2295" t="s">
        <v>120</v>
      </c>
      <c r="D2295" t="s">
        <v>21</v>
      </c>
      <c r="E2295" t="s">
        <v>16</v>
      </c>
      <c r="F2295" t="s">
        <v>17</v>
      </c>
      <c r="G2295" t="str">
        <f>"03"</f>
        <v>03</v>
      </c>
      <c r="H2295" t="str">
        <f>"3  "</f>
        <v xml:space="preserve">3  </v>
      </c>
      <c r="I2295" t="str">
        <f>"2020/08/27"</f>
        <v>2020/08/27</v>
      </c>
      <c r="J2295" t="str">
        <f>"512"</f>
        <v>512</v>
      </c>
      <c r="K2295" t="str">
        <f>"20220609"</f>
        <v>20220609</v>
      </c>
      <c r="L2295" t="s">
        <v>18</v>
      </c>
      <c r="M2295" t="str">
        <f>"20200809"</f>
        <v>20200809</v>
      </c>
    </row>
    <row r="2296" spans="1:13" x14ac:dyDescent="0.25">
      <c r="A2296" t="str">
        <f>"00587804"</f>
        <v>00587804</v>
      </c>
      <c r="B2296" t="s">
        <v>2217</v>
      </c>
      <c r="C2296" t="s">
        <v>1240</v>
      </c>
      <c r="D2296" t="s">
        <v>51</v>
      </c>
      <c r="E2296" t="s">
        <v>16</v>
      </c>
      <c r="F2296" t="s">
        <v>17</v>
      </c>
      <c r="G2296" t="str">
        <f>"03"</f>
        <v>03</v>
      </c>
      <c r="H2296" t="str">
        <f>"0  "</f>
        <v xml:space="preserve">0  </v>
      </c>
      <c r="I2296" t="str">
        <f>"2020/04/21"</f>
        <v>2020/04/21</v>
      </c>
      <c r="J2296" t="str">
        <f>"410"</f>
        <v>410</v>
      </c>
      <c r="K2296" t="s">
        <v>18</v>
      </c>
      <c r="L2296" t="s">
        <v>18</v>
      </c>
      <c r="M2296" t="s">
        <v>18</v>
      </c>
    </row>
    <row r="2297" spans="1:13" x14ac:dyDescent="0.25">
      <c r="A2297" t="str">
        <f>"00251109"</f>
        <v>00251109</v>
      </c>
      <c r="B2297" t="s">
        <v>2219</v>
      </c>
      <c r="C2297" t="s">
        <v>647</v>
      </c>
      <c r="D2297" t="s">
        <v>25</v>
      </c>
      <c r="E2297" t="s">
        <v>26</v>
      </c>
      <c r="F2297" t="s">
        <v>17</v>
      </c>
      <c r="G2297" t="str">
        <f>"03"</f>
        <v>03</v>
      </c>
      <c r="H2297" t="str">
        <f>"0  "</f>
        <v xml:space="preserve">0  </v>
      </c>
      <c r="I2297" t="str">
        <f>"2019/08/19"</f>
        <v>2019/08/19</v>
      </c>
      <c r="J2297" t="str">
        <f>"410"</f>
        <v>410</v>
      </c>
      <c r="K2297" t="s">
        <v>18</v>
      </c>
      <c r="L2297" t="s">
        <v>18</v>
      </c>
      <c r="M2297" t="s">
        <v>18</v>
      </c>
    </row>
    <row r="2298" spans="1:13" x14ac:dyDescent="0.25">
      <c r="A2298" t="str">
        <f>"00446721"</f>
        <v>00446721</v>
      </c>
      <c r="B2298" t="s">
        <v>2220</v>
      </c>
      <c r="C2298" t="s">
        <v>772</v>
      </c>
      <c r="D2298" t="s">
        <v>80</v>
      </c>
      <c r="E2298" t="s">
        <v>16</v>
      </c>
      <c r="F2298" t="s">
        <v>17</v>
      </c>
      <c r="G2298" t="str">
        <f>"03"</f>
        <v>03</v>
      </c>
      <c r="H2298" t="str">
        <f>"3  "</f>
        <v xml:space="preserve">3  </v>
      </c>
      <c r="I2298" t="str">
        <f>"2013/08/08"</f>
        <v>2013/08/08</v>
      </c>
      <c r="J2298" t="str">
        <f>"110"</f>
        <v>110</v>
      </c>
      <c r="K2298" t="str">
        <f>"20300524"</f>
        <v>20300524</v>
      </c>
      <c r="L2298" t="s">
        <v>18</v>
      </c>
      <c r="M2298" t="str">
        <f>"20130215"</f>
        <v>20130215</v>
      </c>
    </row>
    <row r="2299" spans="1:13" x14ac:dyDescent="0.25">
      <c r="A2299" t="str">
        <f>"00616485"</f>
        <v>00616485</v>
      </c>
      <c r="B2299" t="s">
        <v>2223</v>
      </c>
      <c r="C2299" t="s">
        <v>96</v>
      </c>
      <c r="D2299" t="s">
        <v>80</v>
      </c>
      <c r="E2299" t="s">
        <v>16</v>
      </c>
      <c r="F2299" t="s">
        <v>17</v>
      </c>
      <c r="G2299" t="str">
        <f>"03"</f>
        <v>03</v>
      </c>
      <c r="H2299" t="str">
        <f>"3  "</f>
        <v xml:space="preserve">3  </v>
      </c>
      <c r="I2299" t="str">
        <f>"2020/08/07"</f>
        <v>2020/08/07</v>
      </c>
      <c r="J2299" t="str">
        <f>"510"</f>
        <v>510</v>
      </c>
      <c r="K2299" t="str">
        <f>"20331028"</f>
        <v>20331028</v>
      </c>
      <c r="L2299" t="s">
        <v>18</v>
      </c>
      <c r="M2299" t="str">
        <f>"20190517"</f>
        <v>20190517</v>
      </c>
    </row>
    <row r="2300" spans="1:13" x14ac:dyDescent="0.25">
      <c r="A2300" t="str">
        <f>"00537670"</f>
        <v>00537670</v>
      </c>
      <c r="B2300" t="s">
        <v>2229</v>
      </c>
      <c r="C2300" t="s">
        <v>308</v>
      </c>
      <c r="D2300" t="s">
        <v>37</v>
      </c>
      <c r="E2300" t="s">
        <v>16</v>
      </c>
      <c r="F2300" t="s">
        <v>17</v>
      </c>
      <c r="G2300" t="str">
        <f>"03"</f>
        <v>03</v>
      </c>
      <c r="H2300" t="str">
        <f>"3  "</f>
        <v xml:space="preserve">3  </v>
      </c>
      <c r="I2300" t="str">
        <f>"2019/12/18"</f>
        <v>2019/12/18</v>
      </c>
      <c r="J2300" t="str">
        <f>"110"</f>
        <v>110</v>
      </c>
      <c r="K2300" t="str">
        <f>"20261118"</f>
        <v>20261118</v>
      </c>
      <c r="L2300" t="s">
        <v>18</v>
      </c>
      <c r="M2300" t="str">
        <f>"20191004"</f>
        <v>20191004</v>
      </c>
    </row>
    <row r="2301" spans="1:13" x14ac:dyDescent="0.25">
      <c r="A2301" t="str">
        <f>"00633920"</f>
        <v>00633920</v>
      </c>
      <c r="B2301" t="s">
        <v>2231</v>
      </c>
      <c r="C2301" t="s">
        <v>55</v>
      </c>
      <c r="D2301" t="s">
        <v>80</v>
      </c>
      <c r="E2301" t="s">
        <v>26</v>
      </c>
      <c r="F2301" t="s">
        <v>17</v>
      </c>
      <c r="G2301" t="str">
        <f>"03"</f>
        <v>03</v>
      </c>
      <c r="H2301" t="str">
        <f>"3  "</f>
        <v xml:space="preserve">3  </v>
      </c>
      <c r="I2301" t="str">
        <f>"2019/10/21"</f>
        <v>2019/10/21</v>
      </c>
      <c r="J2301" t="str">
        <f>"110"</f>
        <v>110</v>
      </c>
      <c r="K2301" t="str">
        <f>"20210712"</f>
        <v>20210712</v>
      </c>
      <c r="L2301" t="s">
        <v>18</v>
      </c>
      <c r="M2301" t="str">
        <f>"20191021"</f>
        <v>20191021</v>
      </c>
    </row>
    <row r="2302" spans="1:13" x14ac:dyDescent="0.25">
      <c r="A2302" t="str">
        <f>"00557365"</f>
        <v>00557365</v>
      </c>
      <c r="B2302" t="s">
        <v>2235</v>
      </c>
      <c r="C2302" t="s">
        <v>658</v>
      </c>
      <c r="D2302" t="s">
        <v>456</v>
      </c>
      <c r="E2302" t="s">
        <v>26</v>
      </c>
      <c r="F2302" t="s">
        <v>17</v>
      </c>
      <c r="G2302" t="str">
        <f>"03"</f>
        <v>03</v>
      </c>
      <c r="H2302" t="str">
        <f>"0  "</f>
        <v xml:space="preserve">0  </v>
      </c>
      <c r="I2302" t="str">
        <f>"2019/10/18"</f>
        <v>2019/10/18</v>
      </c>
      <c r="J2302" t="str">
        <f>"410"</f>
        <v>410</v>
      </c>
      <c r="K2302" t="s">
        <v>18</v>
      </c>
      <c r="L2302" t="s">
        <v>18</v>
      </c>
      <c r="M2302" t="s">
        <v>18</v>
      </c>
    </row>
    <row r="2303" spans="1:13" x14ac:dyDescent="0.25">
      <c r="A2303" t="str">
        <f>"00762022"</f>
        <v>00762022</v>
      </c>
      <c r="B2303" t="s">
        <v>2248</v>
      </c>
      <c r="C2303" t="s">
        <v>677</v>
      </c>
      <c r="D2303" t="s">
        <v>51</v>
      </c>
      <c r="E2303" t="s">
        <v>16</v>
      </c>
      <c r="F2303" t="s">
        <v>17</v>
      </c>
      <c r="G2303" t="str">
        <f>"03"</f>
        <v>03</v>
      </c>
      <c r="H2303" t="str">
        <f>"3  "</f>
        <v xml:space="preserve">3  </v>
      </c>
      <c r="I2303" t="str">
        <f>"2014/12/17"</f>
        <v>2014/12/17</v>
      </c>
      <c r="J2303" t="str">
        <f>"110"</f>
        <v>110</v>
      </c>
      <c r="K2303" t="str">
        <f>"20380318"</f>
        <v>20380318</v>
      </c>
      <c r="L2303" t="s">
        <v>18</v>
      </c>
      <c r="M2303" t="str">
        <f>"20140210"</f>
        <v>20140210</v>
      </c>
    </row>
    <row r="2304" spans="1:13" x14ac:dyDescent="0.25">
      <c r="A2304" t="str">
        <f>"00301521"</f>
        <v>00301521</v>
      </c>
      <c r="B2304" t="s">
        <v>2250</v>
      </c>
      <c r="C2304" t="s">
        <v>246</v>
      </c>
      <c r="D2304" t="s">
        <v>25</v>
      </c>
      <c r="E2304" t="s">
        <v>26</v>
      </c>
      <c r="F2304" t="s">
        <v>17</v>
      </c>
      <c r="G2304" t="str">
        <f>"03"</f>
        <v>03</v>
      </c>
      <c r="H2304" t="str">
        <f>"3  "</f>
        <v xml:space="preserve">3  </v>
      </c>
      <c r="I2304" t="str">
        <f>"2020/03/25"</f>
        <v>2020/03/25</v>
      </c>
      <c r="J2304" t="str">
        <f>"510"</f>
        <v>510</v>
      </c>
      <c r="K2304" t="str">
        <f>"20210821"</f>
        <v>20210821</v>
      </c>
      <c r="L2304" t="s">
        <v>18</v>
      </c>
      <c r="M2304" t="str">
        <f>"20180410"</f>
        <v>20180410</v>
      </c>
    </row>
    <row r="2305" spans="1:13" x14ac:dyDescent="0.25">
      <c r="A2305" t="str">
        <f>"00723135"</f>
        <v>00723135</v>
      </c>
      <c r="B2305" t="s">
        <v>2257</v>
      </c>
      <c r="C2305" t="s">
        <v>2258</v>
      </c>
      <c r="D2305" t="s">
        <v>25</v>
      </c>
      <c r="E2305" t="s">
        <v>107</v>
      </c>
      <c r="F2305" t="s">
        <v>17</v>
      </c>
      <c r="G2305" t="str">
        <f>"03"</f>
        <v>03</v>
      </c>
      <c r="H2305" t="str">
        <f>"3  "</f>
        <v xml:space="preserve">3  </v>
      </c>
      <c r="I2305" t="str">
        <f>"2013/07/10"</f>
        <v>2013/07/10</v>
      </c>
      <c r="J2305" t="str">
        <f>"110"</f>
        <v>110</v>
      </c>
      <c r="K2305" t="str">
        <f>"20241207"</f>
        <v>20241207</v>
      </c>
      <c r="L2305" t="s">
        <v>18</v>
      </c>
      <c r="M2305" t="str">
        <f>"20120804"</f>
        <v>20120804</v>
      </c>
    </row>
    <row r="2306" spans="1:13" x14ac:dyDescent="0.25">
      <c r="A2306" t="str">
        <f>"00239586"</f>
        <v>00239586</v>
      </c>
      <c r="B2306" t="s">
        <v>2268</v>
      </c>
      <c r="C2306" t="s">
        <v>687</v>
      </c>
      <c r="D2306" t="s">
        <v>15</v>
      </c>
      <c r="E2306" t="s">
        <v>26</v>
      </c>
      <c r="F2306" t="s">
        <v>17</v>
      </c>
      <c r="G2306" t="str">
        <f>"03"</f>
        <v>03</v>
      </c>
      <c r="H2306" t="str">
        <f>"3  "</f>
        <v xml:space="preserve">3  </v>
      </c>
      <c r="I2306" t="str">
        <f>"2020/01/14"</f>
        <v>2020/01/14</v>
      </c>
      <c r="J2306" t="str">
        <f>"531"</f>
        <v>531</v>
      </c>
      <c r="K2306" t="str">
        <f>"20230327"</f>
        <v>20230327</v>
      </c>
      <c r="L2306" t="s">
        <v>18</v>
      </c>
      <c r="M2306" t="str">
        <f>"20190328"</f>
        <v>20190328</v>
      </c>
    </row>
    <row r="2307" spans="1:13" x14ac:dyDescent="0.25">
      <c r="A2307" t="str">
        <f>"00267854"</f>
        <v>00267854</v>
      </c>
      <c r="B2307" t="s">
        <v>2285</v>
      </c>
      <c r="C2307" t="s">
        <v>74</v>
      </c>
      <c r="D2307" t="s">
        <v>61</v>
      </c>
      <c r="E2307" t="s">
        <v>16</v>
      </c>
      <c r="F2307" t="s">
        <v>17</v>
      </c>
      <c r="G2307" t="str">
        <f>"03"</f>
        <v>03</v>
      </c>
      <c r="H2307" t="str">
        <f>"3  "</f>
        <v xml:space="preserve">3  </v>
      </c>
      <c r="I2307" t="str">
        <f>"2019/08/01"</f>
        <v>2019/08/01</v>
      </c>
      <c r="J2307" t="str">
        <f>"502"</f>
        <v>502</v>
      </c>
      <c r="K2307" t="str">
        <f>"20211210"</f>
        <v>20211210</v>
      </c>
      <c r="L2307" t="s">
        <v>18</v>
      </c>
      <c r="M2307" t="str">
        <f>"20180507"</f>
        <v>20180507</v>
      </c>
    </row>
    <row r="2308" spans="1:13" x14ac:dyDescent="0.25">
      <c r="A2308" t="str">
        <f>"00871085"</f>
        <v>00871085</v>
      </c>
      <c r="B2308" t="s">
        <v>2290</v>
      </c>
      <c r="C2308" t="s">
        <v>779</v>
      </c>
      <c r="D2308" t="s">
        <v>25</v>
      </c>
      <c r="E2308" t="s">
        <v>26</v>
      </c>
      <c r="F2308" t="s">
        <v>17</v>
      </c>
      <c r="G2308" t="str">
        <f>"03"</f>
        <v>03</v>
      </c>
      <c r="H2308" t="str">
        <f>"0  "</f>
        <v xml:space="preserve">0  </v>
      </c>
      <c r="I2308" t="str">
        <f>"2020/08/26"</f>
        <v>2020/08/26</v>
      </c>
      <c r="J2308" t="str">
        <f>"410"</f>
        <v>410</v>
      </c>
      <c r="K2308" t="s">
        <v>18</v>
      </c>
      <c r="L2308" t="s">
        <v>18</v>
      </c>
      <c r="M2308" t="s">
        <v>18</v>
      </c>
    </row>
    <row r="2309" spans="1:13" x14ac:dyDescent="0.25">
      <c r="A2309" t="str">
        <f>"00643200"</f>
        <v>00643200</v>
      </c>
      <c r="B2309" t="s">
        <v>2292</v>
      </c>
      <c r="C2309" t="s">
        <v>1250</v>
      </c>
      <c r="D2309" t="s">
        <v>16</v>
      </c>
      <c r="E2309" t="s">
        <v>16</v>
      </c>
      <c r="F2309" t="s">
        <v>17</v>
      </c>
      <c r="G2309" t="str">
        <f>"03"</f>
        <v>03</v>
      </c>
      <c r="H2309" t="str">
        <f>"0  "</f>
        <v xml:space="preserve">0  </v>
      </c>
      <c r="I2309" t="str">
        <f>"2020/09/21"</f>
        <v>2020/09/21</v>
      </c>
      <c r="J2309" t="str">
        <f>"410"</f>
        <v>410</v>
      </c>
      <c r="K2309" t="s">
        <v>18</v>
      </c>
      <c r="L2309" t="s">
        <v>18</v>
      </c>
      <c r="M2309" t="s">
        <v>18</v>
      </c>
    </row>
    <row r="2310" spans="1:13" x14ac:dyDescent="0.25">
      <c r="A2310" t="str">
        <f>"00412208"</f>
        <v>00412208</v>
      </c>
      <c r="B2310" t="s">
        <v>2306</v>
      </c>
      <c r="C2310" t="s">
        <v>2127</v>
      </c>
      <c r="D2310" t="s">
        <v>15</v>
      </c>
      <c r="E2310" t="s">
        <v>26</v>
      </c>
      <c r="F2310" t="s">
        <v>17</v>
      </c>
      <c r="G2310" t="str">
        <f>"03"</f>
        <v>03</v>
      </c>
      <c r="H2310" t="str">
        <f>"3  "</f>
        <v xml:space="preserve">3  </v>
      </c>
      <c r="I2310" t="str">
        <f>"2019/04/13"</f>
        <v>2019/04/13</v>
      </c>
      <c r="J2310" t="str">
        <f>"110"</f>
        <v>110</v>
      </c>
      <c r="K2310" t="str">
        <f>"20260414"</f>
        <v>20260414</v>
      </c>
      <c r="L2310" t="s">
        <v>18</v>
      </c>
      <c r="M2310" t="str">
        <f>"20190316"</f>
        <v>20190316</v>
      </c>
    </row>
    <row r="2311" spans="1:13" x14ac:dyDescent="0.25">
      <c r="A2311" t="str">
        <f>"00371203"</f>
        <v>00371203</v>
      </c>
      <c r="B2311" t="s">
        <v>2314</v>
      </c>
      <c r="C2311" t="s">
        <v>327</v>
      </c>
      <c r="D2311" t="s">
        <v>15</v>
      </c>
      <c r="E2311" t="s">
        <v>26</v>
      </c>
      <c r="F2311" t="s">
        <v>17</v>
      </c>
      <c r="G2311" t="str">
        <f>"03"</f>
        <v>03</v>
      </c>
      <c r="H2311" t="str">
        <f>"3  "</f>
        <v xml:space="preserve">3  </v>
      </c>
      <c r="I2311" t="str">
        <f>"2013/03/20"</f>
        <v>2013/03/20</v>
      </c>
      <c r="J2311" t="str">
        <f>"110"</f>
        <v>110</v>
      </c>
      <c r="K2311" t="str">
        <f>"20440804"</f>
        <v>20440804</v>
      </c>
      <c r="L2311" t="s">
        <v>18</v>
      </c>
      <c r="M2311" t="str">
        <f>"20121116"</f>
        <v>20121116</v>
      </c>
    </row>
    <row r="2312" spans="1:13" x14ac:dyDescent="0.25">
      <c r="A2312" t="str">
        <f>"00516207"</f>
        <v>00516207</v>
      </c>
      <c r="B2312" t="s">
        <v>2315</v>
      </c>
      <c r="C2312" t="s">
        <v>244</v>
      </c>
      <c r="D2312" t="s">
        <v>107</v>
      </c>
      <c r="E2312" t="s">
        <v>26</v>
      </c>
      <c r="F2312" t="s">
        <v>17</v>
      </c>
      <c r="G2312" t="str">
        <f>"03"</f>
        <v>03</v>
      </c>
      <c r="H2312" t="str">
        <f>"0  "</f>
        <v xml:space="preserve">0  </v>
      </c>
      <c r="I2312" t="str">
        <f>"2020/09/21"</f>
        <v>2020/09/21</v>
      </c>
      <c r="J2312" t="str">
        <f>"410"</f>
        <v>410</v>
      </c>
      <c r="K2312" t="s">
        <v>18</v>
      </c>
      <c r="L2312" t="s">
        <v>18</v>
      </c>
      <c r="M2312" t="s">
        <v>18</v>
      </c>
    </row>
    <row r="2313" spans="1:13" x14ac:dyDescent="0.25">
      <c r="A2313" t="str">
        <f>"00649533"</f>
        <v>00649533</v>
      </c>
      <c r="B2313" t="s">
        <v>2315</v>
      </c>
      <c r="C2313" t="s">
        <v>2317</v>
      </c>
      <c r="D2313" t="s">
        <v>25</v>
      </c>
      <c r="E2313" t="s">
        <v>26</v>
      </c>
      <c r="F2313" t="s">
        <v>17</v>
      </c>
      <c r="G2313" t="str">
        <f>"03"</f>
        <v>03</v>
      </c>
      <c r="H2313" t="str">
        <f>"3  "</f>
        <v xml:space="preserve">3  </v>
      </c>
      <c r="I2313" t="str">
        <f>"2018/10/04"</f>
        <v>2018/10/04</v>
      </c>
      <c r="J2313" t="str">
        <f>"110"</f>
        <v>110</v>
      </c>
      <c r="K2313" t="str">
        <f>"20441020"</f>
        <v>20441020</v>
      </c>
      <c r="L2313" t="s">
        <v>18</v>
      </c>
      <c r="M2313" t="str">
        <f>"20180322"</f>
        <v>20180322</v>
      </c>
    </row>
    <row r="2314" spans="1:13" x14ac:dyDescent="0.25">
      <c r="A2314" t="str">
        <f>"00487112"</f>
        <v>00487112</v>
      </c>
      <c r="B2314" t="s">
        <v>2315</v>
      </c>
      <c r="C2314" t="s">
        <v>2319</v>
      </c>
      <c r="D2314" t="s">
        <v>73</v>
      </c>
      <c r="E2314" t="s">
        <v>26</v>
      </c>
      <c r="F2314" t="s">
        <v>17</v>
      </c>
      <c r="G2314" t="str">
        <f>"03"</f>
        <v>03</v>
      </c>
      <c r="H2314" t="str">
        <f>"0  "</f>
        <v xml:space="preserve">0  </v>
      </c>
      <c r="I2314" t="str">
        <f>"2020/08/12"</f>
        <v>2020/08/12</v>
      </c>
      <c r="J2314" t="str">
        <f>"512"</f>
        <v>512</v>
      </c>
      <c r="K2314" t="s">
        <v>18</v>
      </c>
      <c r="L2314" t="s">
        <v>18</v>
      </c>
      <c r="M2314" t="s">
        <v>18</v>
      </c>
    </row>
    <row r="2315" spans="1:13" x14ac:dyDescent="0.25">
      <c r="A2315" t="str">
        <f>"00541632"</f>
        <v>00541632</v>
      </c>
      <c r="B2315" t="s">
        <v>2315</v>
      </c>
      <c r="C2315" t="s">
        <v>772</v>
      </c>
      <c r="D2315" t="s">
        <v>25</v>
      </c>
      <c r="E2315" t="s">
        <v>26</v>
      </c>
      <c r="F2315" t="s">
        <v>17</v>
      </c>
      <c r="G2315" t="str">
        <f>"03"</f>
        <v>03</v>
      </c>
      <c r="H2315" t="str">
        <f>"0  "</f>
        <v xml:space="preserve">0  </v>
      </c>
      <c r="I2315" t="str">
        <f>"2020/09/10"</f>
        <v>2020/09/10</v>
      </c>
      <c r="J2315" t="str">
        <f>"410"</f>
        <v>410</v>
      </c>
      <c r="K2315" t="s">
        <v>18</v>
      </c>
      <c r="L2315" t="s">
        <v>18</v>
      </c>
      <c r="M2315" t="s">
        <v>18</v>
      </c>
    </row>
    <row r="2316" spans="1:13" x14ac:dyDescent="0.25">
      <c r="A2316" t="str">
        <f>"00556593"</f>
        <v>00556593</v>
      </c>
      <c r="B2316" t="s">
        <v>2315</v>
      </c>
      <c r="C2316" t="s">
        <v>2321</v>
      </c>
      <c r="D2316" t="s">
        <v>15</v>
      </c>
      <c r="E2316" t="s">
        <v>26</v>
      </c>
      <c r="F2316" t="s">
        <v>17</v>
      </c>
      <c r="G2316" t="str">
        <f>"03"</f>
        <v>03</v>
      </c>
      <c r="H2316" t="str">
        <f>"6  "</f>
        <v xml:space="preserve">6  </v>
      </c>
      <c r="I2316" t="str">
        <f>"2018/10/18"</f>
        <v>2018/10/18</v>
      </c>
      <c r="J2316" t="str">
        <f>"110"</f>
        <v>110</v>
      </c>
      <c r="K2316" t="str">
        <f>"20230922"</f>
        <v>20230922</v>
      </c>
      <c r="L2316" t="s">
        <v>18</v>
      </c>
      <c r="M2316" t="str">
        <f>"20180513"</f>
        <v>20180513</v>
      </c>
    </row>
    <row r="2317" spans="1:13" x14ac:dyDescent="0.25">
      <c r="A2317" t="str">
        <f>"00320934"</f>
        <v>00320934</v>
      </c>
      <c r="B2317" t="s">
        <v>2315</v>
      </c>
      <c r="C2317" t="s">
        <v>671</v>
      </c>
      <c r="D2317" t="s">
        <v>61</v>
      </c>
      <c r="E2317" t="s">
        <v>26</v>
      </c>
      <c r="F2317" t="s">
        <v>17</v>
      </c>
      <c r="G2317" t="str">
        <f>"03"</f>
        <v>03</v>
      </c>
      <c r="H2317" t="str">
        <f>"3  "</f>
        <v xml:space="preserve">3  </v>
      </c>
      <c r="I2317" t="str">
        <f>"2008/11/18"</f>
        <v>2008/11/18</v>
      </c>
      <c r="J2317" t="str">
        <f>"110"</f>
        <v>110</v>
      </c>
      <c r="K2317" t="str">
        <f>"20210805"</f>
        <v>20210805</v>
      </c>
      <c r="L2317" t="s">
        <v>18</v>
      </c>
      <c r="M2317" t="str">
        <f>"20080715"</f>
        <v>20080715</v>
      </c>
    </row>
    <row r="2318" spans="1:13" x14ac:dyDescent="0.25">
      <c r="A2318" t="str">
        <f>"00756057"</f>
        <v>00756057</v>
      </c>
      <c r="B2318" t="s">
        <v>2315</v>
      </c>
      <c r="C2318" t="s">
        <v>2323</v>
      </c>
      <c r="D2318" t="s">
        <v>25</v>
      </c>
      <c r="E2318" t="s">
        <v>26</v>
      </c>
      <c r="F2318" t="s">
        <v>17</v>
      </c>
      <c r="G2318" t="str">
        <f>"03"</f>
        <v>03</v>
      </c>
      <c r="H2318" t="str">
        <f>"3  "</f>
        <v xml:space="preserve">3  </v>
      </c>
      <c r="I2318" t="str">
        <f>"2018/11/20"</f>
        <v>2018/11/20</v>
      </c>
      <c r="J2318" t="str">
        <f>"110"</f>
        <v>110</v>
      </c>
      <c r="K2318" t="str">
        <f>"20201010"</f>
        <v>20201010</v>
      </c>
      <c r="L2318" t="s">
        <v>18</v>
      </c>
      <c r="M2318" t="str">
        <f>"20180426"</f>
        <v>20180426</v>
      </c>
    </row>
    <row r="2319" spans="1:13" x14ac:dyDescent="0.25">
      <c r="A2319" t="str">
        <f>"00651667"</f>
        <v>00651667</v>
      </c>
      <c r="B2319" t="s">
        <v>2315</v>
      </c>
      <c r="C2319" t="s">
        <v>74</v>
      </c>
      <c r="D2319" t="s">
        <v>16</v>
      </c>
      <c r="E2319" t="s">
        <v>16</v>
      </c>
      <c r="F2319" t="s">
        <v>17</v>
      </c>
      <c r="G2319" t="str">
        <f>"03"</f>
        <v>03</v>
      </c>
      <c r="H2319" t="str">
        <f>"0  "</f>
        <v xml:space="preserve">0  </v>
      </c>
      <c r="I2319" t="str">
        <f>"2020/06/17"</f>
        <v>2020/06/17</v>
      </c>
      <c r="J2319" t="str">
        <f>"410"</f>
        <v>410</v>
      </c>
      <c r="K2319" t="s">
        <v>18</v>
      </c>
      <c r="L2319" t="s">
        <v>18</v>
      </c>
      <c r="M2319" t="s">
        <v>18</v>
      </c>
    </row>
    <row r="2320" spans="1:13" x14ac:dyDescent="0.25">
      <c r="A2320" t="str">
        <f>"00315227"</f>
        <v>00315227</v>
      </c>
      <c r="B2320" t="s">
        <v>2315</v>
      </c>
      <c r="C2320" t="s">
        <v>791</v>
      </c>
      <c r="D2320" t="s">
        <v>21</v>
      </c>
      <c r="E2320" t="s">
        <v>26</v>
      </c>
      <c r="F2320" t="s">
        <v>17</v>
      </c>
      <c r="G2320" t="str">
        <f>"03"</f>
        <v>03</v>
      </c>
      <c r="H2320" t="str">
        <f>"3  "</f>
        <v xml:space="preserve">3  </v>
      </c>
      <c r="I2320" t="str">
        <f>"2020/08/25"</f>
        <v>2020/08/25</v>
      </c>
      <c r="J2320" t="str">
        <f>"120"</f>
        <v>120</v>
      </c>
      <c r="K2320" t="str">
        <f>"20400317"</f>
        <v>20400317</v>
      </c>
      <c r="L2320" t="s">
        <v>18</v>
      </c>
      <c r="M2320" t="str">
        <f>"20200825"</f>
        <v>20200825</v>
      </c>
    </row>
    <row r="2321" spans="1:13" x14ac:dyDescent="0.25">
      <c r="A2321" t="str">
        <f>"00195293"</f>
        <v>00195293</v>
      </c>
      <c r="B2321" t="s">
        <v>2315</v>
      </c>
      <c r="C2321" t="s">
        <v>2325</v>
      </c>
      <c r="D2321" t="s">
        <v>61</v>
      </c>
      <c r="E2321" t="s">
        <v>26</v>
      </c>
      <c r="F2321" t="s">
        <v>17</v>
      </c>
      <c r="G2321" t="str">
        <f>"03"</f>
        <v>03</v>
      </c>
      <c r="H2321" t="str">
        <f>"3  "</f>
        <v xml:space="preserve">3  </v>
      </c>
      <c r="I2321" t="str">
        <f>"2014/05/08"</f>
        <v>2014/05/08</v>
      </c>
      <c r="J2321" t="str">
        <f>"110"</f>
        <v>110</v>
      </c>
      <c r="K2321" t="str">
        <f>"20310511"</f>
        <v>20310511</v>
      </c>
      <c r="L2321" t="s">
        <v>18</v>
      </c>
      <c r="M2321" t="str">
        <f>"20130301"</f>
        <v>20130301</v>
      </c>
    </row>
    <row r="2322" spans="1:13" x14ac:dyDescent="0.25">
      <c r="A2322" t="str">
        <f>"00591556"</f>
        <v>00591556</v>
      </c>
      <c r="B2322" t="s">
        <v>2330</v>
      </c>
      <c r="C2322" t="s">
        <v>2331</v>
      </c>
      <c r="D2322" t="s">
        <v>25</v>
      </c>
      <c r="E2322" t="s">
        <v>26</v>
      </c>
      <c r="F2322" t="s">
        <v>17</v>
      </c>
      <c r="G2322" t="str">
        <f>"03"</f>
        <v>03</v>
      </c>
      <c r="H2322" t="str">
        <f>"0  "</f>
        <v xml:space="preserve">0  </v>
      </c>
      <c r="I2322" t="str">
        <f>"2020/06/15"</f>
        <v>2020/06/15</v>
      </c>
      <c r="J2322" t="str">
        <f>"410"</f>
        <v>410</v>
      </c>
      <c r="K2322" t="s">
        <v>18</v>
      </c>
      <c r="L2322" t="s">
        <v>18</v>
      </c>
      <c r="M2322" t="s">
        <v>18</v>
      </c>
    </row>
    <row r="2323" spans="1:13" x14ac:dyDescent="0.25">
      <c r="A2323" t="str">
        <f>"00621418"</f>
        <v>00621418</v>
      </c>
      <c r="B2323" t="s">
        <v>2333</v>
      </c>
      <c r="C2323" t="s">
        <v>176</v>
      </c>
      <c r="D2323" t="s">
        <v>40</v>
      </c>
      <c r="E2323" t="s">
        <v>16</v>
      </c>
      <c r="F2323" t="s">
        <v>17</v>
      </c>
      <c r="G2323" t="str">
        <f>"03"</f>
        <v>03</v>
      </c>
      <c r="H2323" t="str">
        <f>"3  "</f>
        <v xml:space="preserve">3  </v>
      </c>
      <c r="I2323" t="str">
        <f>"2013/07/05"</f>
        <v>2013/07/05</v>
      </c>
      <c r="J2323" t="str">
        <f>"110"</f>
        <v>110</v>
      </c>
      <c r="K2323" t="str">
        <f>"20420515"</f>
        <v>20420515</v>
      </c>
      <c r="L2323" t="s">
        <v>18</v>
      </c>
      <c r="M2323" t="str">
        <f>"20120923"</f>
        <v>20120923</v>
      </c>
    </row>
    <row r="2324" spans="1:13" x14ac:dyDescent="0.25">
      <c r="A2324" t="str">
        <f>"00751587"</f>
        <v>00751587</v>
      </c>
      <c r="B2324" t="s">
        <v>2336</v>
      </c>
      <c r="C2324" t="s">
        <v>313</v>
      </c>
      <c r="D2324" t="s">
        <v>15</v>
      </c>
      <c r="E2324" t="s">
        <v>16</v>
      </c>
      <c r="F2324" t="s">
        <v>17</v>
      </c>
      <c r="G2324" t="str">
        <f>"03"</f>
        <v>03</v>
      </c>
      <c r="H2324" t="str">
        <f>"3  "</f>
        <v xml:space="preserve">3  </v>
      </c>
      <c r="I2324" t="str">
        <f>"2014/05/09"</f>
        <v>2014/05/09</v>
      </c>
      <c r="J2324" t="str">
        <f>"110"</f>
        <v>110</v>
      </c>
      <c r="K2324" t="str">
        <f>"20230812"</f>
        <v>20230812</v>
      </c>
      <c r="L2324" t="s">
        <v>18</v>
      </c>
      <c r="M2324" t="str">
        <f>"20130904"</f>
        <v>20130904</v>
      </c>
    </row>
    <row r="2325" spans="1:13" x14ac:dyDescent="0.25">
      <c r="A2325" t="str">
        <f>"00237121"</f>
        <v>00237121</v>
      </c>
      <c r="B2325" t="s">
        <v>2338</v>
      </c>
      <c r="C2325" t="s">
        <v>118</v>
      </c>
      <c r="D2325" t="s">
        <v>37</v>
      </c>
      <c r="E2325" t="s">
        <v>16</v>
      </c>
      <c r="F2325" t="s">
        <v>17</v>
      </c>
      <c r="G2325" t="str">
        <f>"03"</f>
        <v>03</v>
      </c>
      <c r="H2325" t="str">
        <f>"3  "</f>
        <v xml:space="preserve">3  </v>
      </c>
      <c r="I2325" t="str">
        <f>"2013/06/26"</f>
        <v>2013/06/26</v>
      </c>
      <c r="J2325" t="str">
        <f>"110"</f>
        <v>110</v>
      </c>
      <c r="K2325" t="str">
        <f>"20221211"</f>
        <v>20221211</v>
      </c>
      <c r="L2325" t="s">
        <v>18</v>
      </c>
      <c r="M2325" t="str">
        <f>"20120711"</f>
        <v>20120711</v>
      </c>
    </row>
    <row r="2326" spans="1:13" x14ac:dyDescent="0.25">
      <c r="A2326" t="str">
        <f>"00508042"</f>
        <v>00508042</v>
      </c>
      <c r="B2326" t="s">
        <v>2343</v>
      </c>
      <c r="C2326" t="s">
        <v>2346</v>
      </c>
      <c r="D2326" t="s">
        <v>15</v>
      </c>
      <c r="E2326" t="s">
        <v>16</v>
      </c>
      <c r="F2326" t="s">
        <v>17</v>
      </c>
      <c r="G2326" t="str">
        <f>"03"</f>
        <v>03</v>
      </c>
      <c r="H2326" t="str">
        <f>"0  "</f>
        <v xml:space="preserve">0  </v>
      </c>
      <c r="I2326" t="str">
        <f>"2020/09/13"</f>
        <v>2020/09/13</v>
      </c>
      <c r="J2326" t="str">
        <f>"410"</f>
        <v>410</v>
      </c>
      <c r="K2326" t="s">
        <v>18</v>
      </c>
      <c r="L2326" t="s">
        <v>18</v>
      </c>
      <c r="M2326" t="s">
        <v>18</v>
      </c>
    </row>
    <row r="2327" spans="1:13" x14ac:dyDescent="0.25">
      <c r="A2327" t="str">
        <f>"00169067"</f>
        <v>00169067</v>
      </c>
      <c r="B2327" t="s">
        <v>2360</v>
      </c>
      <c r="C2327" t="s">
        <v>115</v>
      </c>
      <c r="D2327" t="s">
        <v>15</v>
      </c>
      <c r="E2327" t="s">
        <v>26</v>
      </c>
      <c r="F2327" t="s">
        <v>17</v>
      </c>
      <c r="G2327" t="str">
        <f>"03"</f>
        <v>03</v>
      </c>
      <c r="H2327" t="str">
        <f>"3  "</f>
        <v xml:space="preserve">3  </v>
      </c>
      <c r="I2327" t="str">
        <f>"2019/05/22"</f>
        <v>2019/05/22</v>
      </c>
      <c r="J2327" t="str">
        <f>"110"</f>
        <v>110</v>
      </c>
      <c r="K2327" t="str">
        <f>"20230512"</f>
        <v>20230512</v>
      </c>
      <c r="L2327" t="s">
        <v>18</v>
      </c>
      <c r="M2327" t="str">
        <f>"20181101"</f>
        <v>20181101</v>
      </c>
    </row>
    <row r="2328" spans="1:13" x14ac:dyDescent="0.25">
      <c r="A2328" t="str">
        <f>"00469864"</f>
        <v>00469864</v>
      </c>
      <c r="B2328" t="s">
        <v>2360</v>
      </c>
      <c r="C2328" t="s">
        <v>74</v>
      </c>
      <c r="D2328" t="s">
        <v>15</v>
      </c>
      <c r="E2328" t="s">
        <v>16</v>
      </c>
      <c r="F2328" t="s">
        <v>17</v>
      </c>
      <c r="G2328" t="str">
        <f>"03"</f>
        <v>03</v>
      </c>
      <c r="H2328" t="str">
        <f>"0  "</f>
        <v xml:space="preserve">0  </v>
      </c>
      <c r="I2328" t="str">
        <f>"2020/08/11"</f>
        <v>2020/08/11</v>
      </c>
      <c r="J2328" t="str">
        <f>"512"</f>
        <v>512</v>
      </c>
      <c r="K2328" t="s">
        <v>18</v>
      </c>
      <c r="L2328" t="s">
        <v>18</v>
      </c>
      <c r="M2328" t="s">
        <v>18</v>
      </c>
    </row>
    <row r="2329" spans="1:13" x14ac:dyDescent="0.25">
      <c r="A2329" t="str">
        <f>"00514607"</f>
        <v>00514607</v>
      </c>
      <c r="B2329" t="s">
        <v>2360</v>
      </c>
      <c r="C2329" t="s">
        <v>770</v>
      </c>
      <c r="D2329" t="s">
        <v>80</v>
      </c>
      <c r="E2329" t="s">
        <v>26</v>
      </c>
      <c r="F2329" t="s">
        <v>17</v>
      </c>
      <c r="G2329" t="str">
        <f>"03"</f>
        <v>03</v>
      </c>
      <c r="H2329" t="str">
        <f>"3  "</f>
        <v xml:space="preserve">3  </v>
      </c>
      <c r="I2329" t="str">
        <f>"2015/05/21"</f>
        <v>2015/05/21</v>
      </c>
      <c r="J2329" t="str">
        <f>"110"</f>
        <v>110</v>
      </c>
      <c r="K2329" t="str">
        <f>"20231025"</f>
        <v>20231025</v>
      </c>
      <c r="L2329" t="s">
        <v>18</v>
      </c>
      <c r="M2329" t="str">
        <f>"20150515"</f>
        <v>20150515</v>
      </c>
    </row>
    <row r="2330" spans="1:13" x14ac:dyDescent="0.25">
      <c r="A2330" t="str">
        <f>"00736684"</f>
        <v>00736684</v>
      </c>
      <c r="B2330" t="s">
        <v>2361</v>
      </c>
      <c r="C2330" t="s">
        <v>767</v>
      </c>
      <c r="D2330" t="s">
        <v>37</v>
      </c>
      <c r="E2330" t="s">
        <v>16</v>
      </c>
      <c r="F2330" t="s">
        <v>17</v>
      </c>
      <c r="G2330" t="str">
        <f>"03"</f>
        <v>03</v>
      </c>
      <c r="H2330" t="str">
        <f>"3  "</f>
        <v xml:space="preserve">3  </v>
      </c>
      <c r="I2330" t="str">
        <f>"2013/09/19"</f>
        <v>2013/09/19</v>
      </c>
      <c r="J2330" t="str">
        <f>"110"</f>
        <v>110</v>
      </c>
      <c r="K2330" t="str">
        <f>"20210127"</f>
        <v>20210127</v>
      </c>
      <c r="L2330" t="s">
        <v>18</v>
      </c>
      <c r="M2330" t="str">
        <f>"20130213"</f>
        <v>20130213</v>
      </c>
    </row>
    <row r="2331" spans="1:13" x14ac:dyDescent="0.25">
      <c r="A2331" t="str">
        <f>"00159334"</f>
        <v>00159334</v>
      </c>
      <c r="B2331" t="s">
        <v>2361</v>
      </c>
      <c r="C2331" t="s">
        <v>150</v>
      </c>
      <c r="D2331" t="s">
        <v>45</v>
      </c>
      <c r="E2331" t="s">
        <v>16</v>
      </c>
      <c r="F2331" t="s">
        <v>17</v>
      </c>
      <c r="G2331" t="str">
        <f>"03"</f>
        <v>03</v>
      </c>
      <c r="H2331" t="str">
        <f>"3  "</f>
        <v xml:space="preserve">3  </v>
      </c>
      <c r="I2331" t="str">
        <f>"2020/01/09"</f>
        <v>2020/01/09</v>
      </c>
      <c r="J2331" t="str">
        <f>"110"</f>
        <v>110</v>
      </c>
      <c r="K2331" t="str">
        <f>"20201213"</f>
        <v>20201213</v>
      </c>
      <c r="L2331" t="s">
        <v>18</v>
      </c>
      <c r="M2331" t="str">
        <f>"20190808"</f>
        <v>20190808</v>
      </c>
    </row>
    <row r="2332" spans="1:13" x14ac:dyDescent="0.25">
      <c r="A2332" t="str">
        <f>"00583977"</f>
        <v>00583977</v>
      </c>
      <c r="B2332" t="s">
        <v>2365</v>
      </c>
      <c r="C2332" t="s">
        <v>1384</v>
      </c>
      <c r="D2332" t="s">
        <v>25</v>
      </c>
      <c r="E2332" t="s">
        <v>16</v>
      </c>
      <c r="F2332" t="s">
        <v>17</v>
      </c>
      <c r="G2332" t="str">
        <f>"03"</f>
        <v>03</v>
      </c>
      <c r="H2332" t="str">
        <f>"3  "</f>
        <v xml:space="preserve">3  </v>
      </c>
      <c r="I2332" t="str">
        <f>"2015/10/06"</f>
        <v>2015/10/06</v>
      </c>
      <c r="J2332" t="str">
        <f>"110"</f>
        <v>110</v>
      </c>
      <c r="K2332" t="str">
        <f>"20240323"</f>
        <v>20240323</v>
      </c>
      <c r="L2332" t="s">
        <v>18</v>
      </c>
      <c r="M2332" t="str">
        <f>"20150503"</f>
        <v>20150503</v>
      </c>
    </row>
    <row r="2333" spans="1:13" x14ac:dyDescent="0.25">
      <c r="A2333" t="str">
        <f>"00874226"</f>
        <v>00874226</v>
      </c>
      <c r="B2333" t="s">
        <v>2372</v>
      </c>
      <c r="C2333" t="s">
        <v>1173</v>
      </c>
      <c r="D2333" t="s">
        <v>25</v>
      </c>
      <c r="E2333" t="s">
        <v>16</v>
      </c>
      <c r="F2333" t="s">
        <v>17</v>
      </c>
      <c r="G2333" t="str">
        <f>"03"</f>
        <v>03</v>
      </c>
      <c r="H2333" t="str">
        <f>"3  "</f>
        <v xml:space="preserve">3  </v>
      </c>
      <c r="I2333" t="str">
        <f>"2020/08/26"</f>
        <v>2020/08/26</v>
      </c>
      <c r="J2333" t="str">
        <f>"502"</f>
        <v>502</v>
      </c>
      <c r="K2333" t="str">
        <f>"20250304"</f>
        <v>20250304</v>
      </c>
      <c r="L2333" t="s">
        <v>18</v>
      </c>
      <c r="M2333" t="str">
        <f>"20180201"</f>
        <v>20180201</v>
      </c>
    </row>
    <row r="2334" spans="1:13" x14ac:dyDescent="0.25">
      <c r="A2334" t="str">
        <f>"00376941"</f>
        <v>00376941</v>
      </c>
      <c r="B2334" t="s">
        <v>2382</v>
      </c>
      <c r="C2334" t="s">
        <v>191</v>
      </c>
      <c r="D2334" t="s">
        <v>182</v>
      </c>
      <c r="E2334" t="s">
        <v>26</v>
      </c>
      <c r="F2334" t="s">
        <v>17</v>
      </c>
      <c r="G2334" t="str">
        <f>"03"</f>
        <v>03</v>
      </c>
      <c r="H2334" t="str">
        <f>"7  "</f>
        <v xml:space="preserve">7  </v>
      </c>
      <c r="I2334" t="str">
        <f>"2019/11/07"</f>
        <v>2019/11/07</v>
      </c>
      <c r="J2334" t="str">
        <f>"510"</f>
        <v>510</v>
      </c>
      <c r="K2334" t="s">
        <v>18</v>
      </c>
      <c r="L2334" t="s">
        <v>18</v>
      </c>
      <c r="M2334" t="str">
        <f>"20131121"</f>
        <v>20131121</v>
      </c>
    </row>
    <row r="2335" spans="1:13" x14ac:dyDescent="0.25">
      <c r="A2335" t="str">
        <f>"00739601"</f>
        <v>00739601</v>
      </c>
      <c r="B2335" t="s">
        <v>2391</v>
      </c>
      <c r="C2335" t="s">
        <v>687</v>
      </c>
      <c r="D2335" t="s">
        <v>25</v>
      </c>
      <c r="E2335" t="s">
        <v>16</v>
      </c>
      <c r="F2335" t="s">
        <v>17</v>
      </c>
      <c r="G2335" t="str">
        <f>"03"</f>
        <v>03</v>
      </c>
      <c r="H2335" t="str">
        <f>"1  "</f>
        <v xml:space="preserve">1  </v>
      </c>
      <c r="I2335" t="str">
        <f>"2020/09/24"</f>
        <v>2020/09/24</v>
      </c>
      <c r="J2335" t="str">
        <f>"110"</f>
        <v>110</v>
      </c>
      <c r="K2335" t="s">
        <v>18</v>
      </c>
      <c r="L2335" t="s">
        <v>18</v>
      </c>
      <c r="M2335" t="str">
        <f>"20200924"</f>
        <v>20200924</v>
      </c>
    </row>
    <row r="2336" spans="1:13" x14ac:dyDescent="0.25">
      <c r="A2336" t="str">
        <f>"00733975"</f>
        <v>00733975</v>
      </c>
      <c r="B2336" t="s">
        <v>2396</v>
      </c>
      <c r="C2336" t="s">
        <v>889</v>
      </c>
      <c r="D2336" t="s">
        <v>61</v>
      </c>
      <c r="E2336" t="s">
        <v>16</v>
      </c>
      <c r="F2336" t="s">
        <v>17</v>
      </c>
      <c r="G2336" t="str">
        <f>"03"</f>
        <v>03</v>
      </c>
      <c r="H2336" t="str">
        <f>"3  "</f>
        <v xml:space="preserve">3  </v>
      </c>
      <c r="I2336" t="str">
        <f>"2020/04/03"</f>
        <v>2020/04/03</v>
      </c>
      <c r="J2336" t="str">
        <f>"512"</f>
        <v>512</v>
      </c>
      <c r="K2336" t="str">
        <f>"20240523"</f>
        <v>20240523</v>
      </c>
      <c r="L2336" t="s">
        <v>18</v>
      </c>
      <c r="M2336" t="str">
        <f>"20200311"</f>
        <v>20200311</v>
      </c>
    </row>
    <row r="2337" spans="1:13" x14ac:dyDescent="0.25">
      <c r="A2337" t="str">
        <f>"00567506"</f>
        <v>00567506</v>
      </c>
      <c r="B2337" t="s">
        <v>2405</v>
      </c>
      <c r="C2337" t="s">
        <v>650</v>
      </c>
      <c r="D2337" t="s">
        <v>15</v>
      </c>
      <c r="E2337" t="s">
        <v>26</v>
      </c>
      <c r="F2337" t="s">
        <v>17</v>
      </c>
      <c r="G2337" t="str">
        <f>"03"</f>
        <v>03</v>
      </c>
      <c r="H2337" t="str">
        <f>"0  "</f>
        <v xml:space="preserve">0  </v>
      </c>
      <c r="I2337" t="str">
        <f>"2020/09/10"</f>
        <v>2020/09/10</v>
      </c>
      <c r="J2337" t="str">
        <f>"410"</f>
        <v>410</v>
      </c>
      <c r="K2337" t="s">
        <v>18</v>
      </c>
      <c r="L2337" t="s">
        <v>18</v>
      </c>
      <c r="M2337" t="s">
        <v>18</v>
      </c>
    </row>
    <row r="2338" spans="1:13" x14ac:dyDescent="0.25">
      <c r="A2338" t="str">
        <f>"00791346"</f>
        <v>00791346</v>
      </c>
      <c r="B2338" t="s">
        <v>2405</v>
      </c>
      <c r="C2338" t="s">
        <v>2408</v>
      </c>
      <c r="D2338" t="s">
        <v>31</v>
      </c>
      <c r="E2338" t="s">
        <v>26</v>
      </c>
      <c r="F2338" t="s">
        <v>17</v>
      </c>
      <c r="G2338" t="str">
        <f>"03"</f>
        <v>03</v>
      </c>
      <c r="H2338" t="str">
        <f>"1  "</f>
        <v xml:space="preserve">1  </v>
      </c>
      <c r="I2338" t="str">
        <f>"2020/07/24"</f>
        <v>2020/07/24</v>
      </c>
      <c r="J2338" t="str">
        <f>"502"</f>
        <v>502</v>
      </c>
      <c r="K2338" t="str">
        <f>"20201029"</f>
        <v>20201029</v>
      </c>
      <c r="L2338" t="s">
        <v>18</v>
      </c>
      <c r="M2338" t="str">
        <f>"20191123"</f>
        <v>20191123</v>
      </c>
    </row>
    <row r="2339" spans="1:13" x14ac:dyDescent="0.25">
      <c r="A2339" t="str">
        <f>"00293832"</f>
        <v>00293832</v>
      </c>
      <c r="B2339" t="s">
        <v>2409</v>
      </c>
      <c r="C2339" t="s">
        <v>944</v>
      </c>
      <c r="D2339" t="s">
        <v>97</v>
      </c>
      <c r="E2339" t="s">
        <v>26</v>
      </c>
      <c r="F2339" t="s">
        <v>17</v>
      </c>
      <c r="G2339" t="str">
        <f>"03"</f>
        <v>03</v>
      </c>
      <c r="H2339" t="str">
        <f>"3  "</f>
        <v xml:space="preserve">3  </v>
      </c>
      <c r="I2339" t="str">
        <f>"2016/06/10"</f>
        <v>2016/06/10</v>
      </c>
      <c r="J2339" t="str">
        <f>"110"</f>
        <v>110</v>
      </c>
      <c r="K2339" t="str">
        <f>"20261213"</f>
        <v>20261213</v>
      </c>
      <c r="L2339" t="s">
        <v>18</v>
      </c>
      <c r="M2339" t="str">
        <f>"20160529"</f>
        <v>20160529</v>
      </c>
    </row>
    <row r="2340" spans="1:13" x14ac:dyDescent="0.25">
      <c r="A2340" t="str">
        <f>"00363515"</f>
        <v>00363515</v>
      </c>
      <c r="B2340" t="s">
        <v>2419</v>
      </c>
      <c r="C2340" t="s">
        <v>320</v>
      </c>
      <c r="D2340" t="s">
        <v>51</v>
      </c>
      <c r="E2340" t="s">
        <v>16</v>
      </c>
      <c r="F2340" t="s">
        <v>17</v>
      </c>
      <c r="G2340" t="str">
        <f>"03"</f>
        <v>03</v>
      </c>
      <c r="H2340" t="str">
        <f>"0  "</f>
        <v xml:space="preserve">0  </v>
      </c>
      <c r="I2340" t="str">
        <f>"2020/09/20"</f>
        <v>2020/09/20</v>
      </c>
      <c r="J2340" t="str">
        <f>"410"</f>
        <v>410</v>
      </c>
      <c r="K2340" t="s">
        <v>18</v>
      </c>
      <c r="L2340" t="s">
        <v>18</v>
      </c>
      <c r="M2340" t="s">
        <v>18</v>
      </c>
    </row>
    <row r="2341" spans="1:13" x14ac:dyDescent="0.25">
      <c r="A2341" t="str">
        <f>"00192890"</f>
        <v>00192890</v>
      </c>
      <c r="B2341" t="s">
        <v>2421</v>
      </c>
      <c r="C2341" t="s">
        <v>133</v>
      </c>
      <c r="D2341" t="s">
        <v>47</v>
      </c>
      <c r="E2341" t="s">
        <v>16</v>
      </c>
      <c r="F2341" t="s">
        <v>17</v>
      </c>
      <c r="G2341" t="str">
        <f>"03"</f>
        <v>03</v>
      </c>
      <c r="H2341" t="str">
        <f>"3  "</f>
        <v xml:space="preserve">3  </v>
      </c>
      <c r="I2341" t="str">
        <f>"2019/08/19"</f>
        <v>2019/08/19</v>
      </c>
      <c r="J2341" t="str">
        <f>"110"</f>
        <v>110</v>
      </c>
      <c r="K2341" t="str">
        <f>"20201008"</f>
        <v>20201008</v>
      </c>
      <c r="L2341" t="s">
        <v>18</v>
      </c>
      <c r="M2341" t="str">
        <f>"20190818"</f>
        <v>20190818</v>
      </c>
    </row>
    <row r="2342" spans="1:13" x14ac:dyDescent="0.25">
      <c r="A2342" t="str">
        <f>"00592760"</f>
        <v>00592760</v>
      </c>
      <c r="B2342" t="s">
        <v>2441</v>
      </c>
      <c r="C2342" t="s">
        <v>2442</v>
      </c>
      <c r="D2342" t="s">
        <v>25</v>
      </c>
      <c r="E2342" t="s">
        <v>26</v>
      </c>
      <c r="F2342" t="s">
        <v>17</v>
      </c>
      <c r="G2342" t="str">
        <f>"03"</f>
        <v>03</v>
      </c>
      <c r="H2342" t="str">
        <f>"3  "</f>
        <v xml:space="preserve">3  </v>
      </c>
      <c r="I2342" t="str">
        <f>"2019/12/03"</f>
        <v>2019/12/03</v>
      </c>
      <c r="J2342" t="str">
        <f>"110"</f>
        <v>110</v>
      </c>
      <c r="K2342" t="str">
        <f>"20220227"</f>
        <v>20220227</v>
      </c>
      <c r="L2342" t="s">
        <v>18</v>
      </c>
      <c r="M2342" t="str">
        <f>"20190625"</f>
        <v>20190625</v>
      </c>
    </row>
    <row r="2343" spans="1:13" x14ac:dyDescent="0.25">
      <c r="A2343" t="str">
        <f>"00649652"</f>
        <v>00649652</v>
      </c>
      <c r="B2343" t="s">
        <v>2443</v>
      </c>
      <c r="C2343" t="s">
        <v>1207</v>
      </c>
      <c r="D2343" t="s">
        <v>15</v>
      </c>
      <c r="E2343" t="s">
        <v>26</v>
      </c>
      <c r="F2343" t="s">
        <v>17</v>
      </c>
      <c r="G2343" t="str">
        <f>"03"</f>
        <v>03</v>
      </c>
      <c r="H2343" t="str">
        <f>"0  "</f>
        <v xml:space="preserve">0  </v>
      </c>
      <c r="I2343" t="str">
        <f>"2020/09/10"</f>
        <v>2020/09/10</v>
      </c>
      <c r="J2343" t="str">
        <f>"512"</f>
        <v>512</v>
      </c>
      <c r="K2343" t="s">
        <v>18</v>
      </c>
      <c r="L2343" t="s">
        <v>18</v>
      </c>
      <c r="M2343" t="s">
        <v>18</v>
      </c>
    </row>
    <row r="2344" spans="1:13" x14ac:dyDescent="0.25">
      <c r="A2344" t="str">
        <f>"00723633"</f>
        <v>00723633</v>
      </c>
      <c r="B2344" t="s">
        <v>2454</v>
      </c>
      <c r="C2344" t="s">
        <v>75</v>
      </c>
      <c r="D2344" t="s">
        <v>21</v>
      </c>
      <c r="E2344" t="s">
        <v>26</v>
      </c>
      <c r="F2344" t="s">
        <v>17</v>
      </c>
      <c r="G2344" t="str">
        <f>"03"</f>
        <v>03</v>
      </c>
      <c r="H2344" t="str">
        <f>"0  "</f>
        <v xml:space="preserve">0  </v>
      </c>
      <c r="I2344" t="str">
        <f>"2020/09/15"</f>
        <v>2020/09/15</v>
      </c>
      <c r="J2344" t="str">
        <f>"410"</f>
        <v>410</v>
      </c>
      <c r="K2344" t="s">
        <v>18</v>
      </c>
      <c r="L2344" t="s">
        <v>18</v>
      </c>
      <c r="M2344" t="s">
        <v>18</v>
      </c>
    </row>
    <row r="2345" spans="1:13" x14ac:dyDescent="0.25">
      <c r="A2345" t="str">
        <f>"00651482"</f>
        <v>00651482</v>
      </c>
      <c r="B2345" t="s">
        <v>2459</v>
      </c>
      <c r="C2345" t="s">
        <v>1339</v>
      </c>
      <c r="D2345" t="s">
        <v>15</v>
      </c>
      <c r="E2345" t="s">
        <v>16</v>
      </c>
      <c r="F2345" t="s">
        <v>17</v>
      </c>
      <c r="G2345" t="str">
        <f>"03"</f>
        <v>03</v>
      </c>
      <c r="H2345" t="str">
        <f>"0  "</f>
        <v xml:space="preserve">0  </v>
      </c>
      <c r="I2345" t="str">
        <f>"2020/09/11"</f>
        <v>2020/09/11</v>
      </c>
      <c r="J2345" t="str">
        <f>"410"</f>
        <v>410</v>
      </c>
      <c r="K2345" t="s">
        <v>18</v>
      </c>
      <c r="L2345" t="s">
        <v>18</v>
      </c>
      <c r="M2345" t="s">
        <v>18</v>
      </c>
    </row>
    <row r="2346" spans="1:13" x14ac:dyDescent="0.25">
      <c r="A2346" t="str">
        <f>"00418294"</f>
        <v>00418294</v>
      </c>
      <c r="B2346" t="s">
        <v>2461</v>
      </c>
      <c r="C2346" t="s">
        <v>135</v>
      </c>
      <c r="D2346" t="s">
        <v>40</v>
      </c>
      <c r="E2346" t="s">
        <v>16</v>
      </c>
      <c r="F2346" t="s">
        <v>17</v>
      </c>
      <c r="G2346" t="str">
        <f>"03"</f>
        <v>03</v>
      </c>
      <c r="H2346" t="str">
        <f>"3  "</f>
        <v xml:space="preserve">3  </v>
      </c>
      <c r="I2346" t="str">
        <f>"2020/01/27"</f>
        <v>2020/01/27</v>
      </c>
      <c r="J2346" t="str">
        <f>"120"</f>
        <v>120</v>
      </c>
      <c r="K2346" t="str">
        <f>"20220203"</f>
        <v>20220203</v>
      </c>
      <c r="L2346" t="s">
        <v>18</v>
      </c>
      <c r="M2346" t="str">
        <f>"20200123"</f>
        <v>20200123</v>
      </c>
    </row>
    <row r="2347" spans="1:13" x14ac:dyDescent="0.25">
      <c r="A2347" t="str">
        <f>"00368305"</f>
        <v>00368305</v>
      </c>
      <c r="B2347" t="s">
        <v>2470</v>
      </c>
      <c r="C2347" t="s">
        <v>640</v>
      </c>
      <c r="D2347" t="s">
        <v>80</v>
      </c>
      <c r="E2347" t="s">
        <v>26</v>
      </c>
      <c r="F2347" t="s">
        <v>17</v>
      </c>
      <c r="G2347" t="str">
        <f>"03"</f>
        <v>03</v>
      </c>
      <c r="H2347" t="str">
        <f>"3  "</f>
        <v xml:space="preserve">3  </v>
      </c>
      <c r="I2347" t="str">
        <f>"2019/02/01"</f>
        <v>2019/02/01</v>
      </c>
      <c r="J2347" t="str">
        <f>"110"</f>
        <v>110</v>
      </c>
      <c r="K2347" t="str">
        <f>"20490114"</f>
        <v>20490114</v>
      </c>
      <c r="L2347" t="s">
        <v>18</v>
      </c>
      <c r="M2347" t="str">
        <f>"20170701"</f>
        <v>20170701</v>
      </c>
    </row>
    <row r="2348" spans="1:13" x14ac:dyDescent="0.25">
      <c r="A2348" t="str">
        <f>"00881672"</f>
        <v>00881672</v>
      </c>
      <c r="B2348" t="s">
        <v>2470</v>
      </c>
      <c r="C2348" t="s">
        <v>2471</v>
      </c>
      <c r="D2348" t="s">
        <v>25</v>
      </c>
      <c r="E2348" t="s">
        <v>16</v>
      </c>
      <c r="F2348" t="s">
        <v>17</v>
      </c>
      <c r="G2348" t="str">
        <f>"03"</f>
        <v>03</v>
      </c>
      <c r="H2348" t="str">
        <f>"3  "</f>
        <v xml:space="preserve">3  </v>
      </c>
      <c r="I2348" t="str">
        <f>"2019/11/19"</f>
        <v>2019/11/19</v>
      </c>
      <c r="J2348" t="str">
        <f>"110"</f>
        <v>110</v>
      </c>
      <c r="K2348" t="str">
        <f>"20430825"</f>
        <v>20430825</v>
      </c>
      <c r="L2348" t="s">
        <v>18</v>
      </c>
      <c r="M2348" t="str">
        <f>"20180527"</f>
        <v>20180527</v>
      </c>
    </row>
    <row r="2349" spans="1:13" x14ac:dyDescent="0.25">
      <c r="A2349" t="str">
        <f>"00839730"</f>
        <v>00839730</v>
      </c>
      <c r="B2349" t="s">
        <v>2474</v>
      </c>
      <c r="C2349" t="s">
        <v>1909</v>
      </c>
      <c r="D2349" t="s">
        <v>40</v>
      </c>
      <c r="E2349" t="s">
        <v>16</v>
      </c>
      <c r="F2349" t="s">
        <v>17</v>
      </c>
      <c r="G2349" t="str">
        <f>"03"</f>
        <v>03</v>
      </c>
      <c r="H2349" t="str">
        <f>"3  "</f>
        <v xml:space="preserve">3  </v>
      </c>
      <c r="I2349" t="str">
        <f>"2017/02/28"</f>
        <v>2017/02/28</v>
      </c>
      <c r="J2349" t="str">
        <f>"110"</f>
        <v>110</v>
      </c>
      <c r="K2349" t="str">
        <f>"20480308"</f>
        <v>20480308</v>
      </c>
      <c r="L2349" t="s">
        <v>18</v>
      </c>
      <c r="M2349" t="str">
        <f>"20160907"</f>
        <v>20160907</v>
      </c>
    </row>
    <row r="2350" spans="1:13" x14ac:dyDescent="0.25">
      <c r="A2350" t="str">
        <f>"00533897"</f>
        <v>00533897</v>
      </c>
      <c r="B2350" t="s">
        <v>2479</v>
      </c>
      <c r="C2350" t="s">
        <v>2480</v>
      </c>
      <c r="D2350" t="s">
        <v>51</v>
      </c>
      <c r="E2350" t="s">
        <v>26</v>
      </c>
      <c r="F2350" t="s">
        <v>17</v>
      </c>
      <c r="G2350" t="str">
        <f>"03"</f>
        <v>03</v>
      </c>
      <c r="H2350" t="str">
        <f>"3  "</f>
        <v xml:space="preserve">3  </v>
      </c>
      <c r="I2350" t="str">
        <f>"2019/10/22"</f>
        <v>2019/10/22</v>
      </c>
      <c r="J2350" t="str">
        <f>"510"</f>
        <v>510</v>
      </c>
      <c r="K2350" t="str">
        <f>"20210422"</f>
        <v>20210422</v>
      </c>
      <c r="L2350" t="s">
        <v>18</v>
      </c>
      <c r="M2350" t="str">
        <f>"20180220"</f>
        <v>20180220</v>
      </c>
    </row>
    <row r="2351" spans="1:13" x14ac:dyDescent="0.25">
      <c r="A2351" t="str">
        <f>"00150624"</f>
        <v>00150624</v>
      </c>
      <c r="B2351" t="s">
        <v>2479</v>
      </c>
      <c r="C2351" t="s">
        <v>2174</v>
      </c>
      <c r="D2351" t="s">
        <v>47</v>
      </c>
      <c r="E2351" t="s">
        <v>26</v>
      </c>
      <c r="F2351" t="s">
        <v>17</v>
      </c>
      <c r="G2351" t="str">
        <f>"03"</f>
        <v>03</v>
      </c>
      <c r="H2351" t="str">
        <f>"3  "</f>
        <v xml:space="preserve">3  </v>
      </c>
      <c r="I2351" t="str">
        <f>"2014/02/27"</f>
        <v>2014/02/27</v>
      </c>
      <c r="J2351" t="str">
        <f>"110"</f>
        <v>110</v>
      </c>
      <c r="K2351" t="str">
        <f>"20341218"</f>
        <v>20341218</v>
      </c>
      <c r="L2351" t="s">
        <v>18</v>
      </c>
      <c r="M2351" t="str">
        <f>"20130627"</f>
        <v>20130627</v>
      </c>
    </row>
    <row r="2352" spans="1:13" x14ac:dyDescent="0.25">
      <c r="A2352" t="str">
        <f>"00705284"</f>
        <v>00705284</v>
      </c>
      <c r="B2352" t="s">
        <v>2494</v>
      </c>
      <c r="C2352" t="s">
        <v>2495</v>
      </c>
      <c r="D2352" t="s">
        <v>53</v>
      </c>
      <c r="E2352" t="s">
        <v>26</v>
      </c>
      <c r="F2352" t="s">
        <v>17</v>
      </c>
      <c r="G2352" t="str">
        <f>"03"</f>
        <v>03</v>
      </c>
      <c r="H2352" t="str">
        <f>"3  "</f>
        <v xml:space="preserve">3  </v>
      </c>
      <c r="I2352" t="str">
        <f>"2020/09/01"</f>
        <v>2020/09/01</v>
      </c>
      <c r="J2352" t="str">
        <f>"510"</f>
        <v>510</v>
      </c>
      <c r="K2352" t="str">
        <f>"20210316"</f>
        <v>20210316</v>
      </c>
      <c r="L2352" t="s">
        <v>18</v>
      </c>
      <c r="M2352" t="str">
        <f>"20190617"</f>
        <v>20190617</v>
      </c>
    </row>
    <row r="2353" spans="1:13" x14ac:dyDescent="0.25">
      <c r="A2353" t="str">
        <f>"00182007"</f>
        <v>00182007</v>
      </c>
      <c r="B2353" t="s">
        <v>2494</v>
      </c>
      <c r="C2353" t="s">
        <v>358</v>
      </c>
      <c r="D2353" t="s">
        <v>51</v>
      </c>
      <c r="E2353" t="s">
        <v>26</v>
      </c>
      <c r="F2353" t="s">
        <v>17</v>
      </c>
      <c r="G2353" t="str">
        <f>"03"</f>
        <v>03</v>
      </c>
      <c r="H2353" t="str">
        <f>"1  "</f>
        <v xml:space="preserve">1  </v>
      </c>
      <c r="I2353" t="str">
        <f>"2020/08/25"</f>
        <v>2020/08/25</v>
      </c>
      <c r="J2353" t="str">
        <f>"512"</f>
        <v>512</v>
      </c>
      <c r="K2353" t="str">
        <f>"20201103"</f>
        <v>20201103</v>
      </c>
      <c r="L2353" t="s">
        <v>18</v>
      </c>
      <c r="M2353" t="str">
        <f>"20200812"</f>
        <v>20200812</v>
      </c>
    </row>
    <row r="2354" spans="1:13" x14ac:dyDescent="0.25">
      <c r="A2354" t="str">
        <f>"00277840"</f>
        <v>00277840</v>
      </c>
      <c r="B2354" t="s">
        <v>2494</v>
      </c>
      <c r="C2354" t="s">
        <v>402</v>
      </c>
      <c r="D2354" t="s">
        <v>53</v>
      </c>
      <c r="E2354" t="s">
        <v>26</v>
      </c>
      <c r="F2354" t="s">
        <v>17</v>
      </c>
      <c r="G2354" t="str">
        <f>"03"</f>
        <v>03</v>
      </c>
      <c r="H2354" t="str">
        <f>"3  "</f>
        <v xml:space="preserve">3  </v>
      </c>
      <c r="I2354" t="str">
        <f>"2019/08/09"</f>
        <v>2019/08/09</v>
      </c>
      <c r="J2354" t="str">
        <f>"110"</f>
        <v>110</v>
      </c>
      <c r="K2354" t="str">
        <f>"20220408"</f>
        <v>20220408</v>
      </c>
      <c r="L2354" t="s">
        <v>18</v>
      </c>
      <c r="M2354" t="str">
        <f>"20190715"</f>
        <v>20190715</v>
      </c>
    </row>
    <row r="2355" spans="1:13" x14ac:dyDescent="0.25">
      <c r="A2355" t="str">
        <f>"00221518"</f>
        <v>00221518</v>
      </c>
      <c r="B2355" t="s">
        <v>2500</v>
      </c>
      <c r="C2355" t="s">
        <v>48</v>
      </c>
      <c r="D2355" t="s">
        <v>51</v>
      </c>
      <c r="E2355" t="s">
        <v>26</v>
      </c>
      <c r="F2355" t="s">
        <v>17</v>
      </c>
      <c r="G2355" t="str">
        <f>"03"</f>
        <v>03</v>
      </c>
      <c r="H2355" t="str">
        <f>"0  "</f>
        <v xml:space="preserve">0  </v>
      </c>
      <c r="I2355" t="str">
        <f>"2020/08/12"</f>
        <v>2020/08/12</v>
      </c>
      <c r="J2355" t="str">
        <f>"502"</f>
        <v>502</v>
      </c>
      <c r="K2355" t="str">
        <f>"20200813"</f>
        <v>20200813</v>
      </c>
      <c r="L2355" t="s">
        <v>18</v>
      </c>
      <c r="M2355" t="str">
        <f>"20191114"</f>
        <v>20191114</v>
      </c>
    </row>
    <row r="2356" spans="1:13" x14ac:dyDescent="0.25">
      <c r="A2356" t="str">
        <f>"00228278"</f>
        <v>00228278</v>
      </c>
      <c r="B2356" t="s">
        <v>2523</v>
      </c>
      <c r="C2356" t="s">
        <v>22</v>
      </c>
      <c r="D2356" t="s">
        <v>21</v>
      </c>
      <c r="E2356" t="s">
        <v>16</v>
      </c>
      <c r="F2356" t="s">
        <v>17</v>
      </c>
      <c r="G2356" t="str">
        <f>"03"</f>
        <v>03</v>
      </c>
      <c r="H2356" t="str">
        <f>"3  "</f>
        <v xml:space="preserve">3  </v>
      </c>
      <c r="I2356" t="str">
        <f>"2019/11/14"</f>
        <v>2019/11/14</v>
      </c>
      <c r="J2356" t="str">
        <f>"510"</f>
        <v>510</v>
      </c>
      <c r="K2356" t="str">
        <f>"20251010"</f>
        <v>20251010</v>
      </c>
      <c r="L2356" t="s">
        <v>18</v>
      </c>
      <c r="M2356" t="str">
        <f>"19971114"</f>
        <v>19971114</v>
      </c>
    </row>
    <row r="2357" spans="1:13" x14ac:dyDescent="0.25">
      <c r="A2357" t="str">
        <f>"00669915"</f>
        <v>00669915</v>
      </c>
      <c r="B2357" t="s">
        <v>2545</v>
      </c>
      <c r="C2357" t="s">
        <v>2546</v>
      </c>
      <c r="D2357" t="s">
        <v>25</v>
      </c>
      <c r="E2357" t="s">
        <v>26</v>
      </c>
      <c r="F2357" t="s">
        <v>17</v>
      </c>
      <c r="G2357" t="str">
        <f>"03"</f>
        <v>03</v>
      </c>
      <c r="H2357" t="str">
        <f>"0  "</f>
        <v xml:space="preserve">0  </v>
      </c>
      <c r="I2357" t="str">
        <f>"2020/02/28"</f>
        <v>2020/02/28</v>
      </c>
      <c r="J2357" t="str">
        <f>"410"</f>
        <v>410</v>
      </c>
      <c r="K2357" t="s">
        <v>18</v>
      </c>
      <c r="L2357" t="s">
        <v>18</v>
      </c>
      <c r="M2357" t="s">
        <v>18</v>
      </c>
    </row>
    <row r="2358" spans="1:13" x14ac:dyDescent="0.25">
      <c r="A2358" t="str">
        <f>"00390409"</f>
        <v>00390409</v>
      </c>
      <c r="B2358" t="s">
        <v>2548</v>
      </c>
      <c r="C2358" t="s">
        <v>22</v>
      </c>
      <c r="D2358" t="s">
        <v>45</v>
      </c>
      <c r="E2358" t="s">
        <v>16</v>
      </c>
      <c r="F2358" t="s">
        <v>17</v>
      </c>
      <c r="G2358" t="str">
        <f>"03"</f>
        <v>03</v>
      </c>
      <c r="H2358" t="str">
        <f>"3  "</f>
        <v xml:space="preserve">3  </v>
      </c>
      <c r="I2358" t="str">
        <f>"2017/12/15"</f>
        <v>2017/12/15</v>
      </c>
      <c r="J2358" t="str">
        <f>"110"</f>
        <v>110</v>
      </c>
      <c r="K2358" t="str">
        <f>"20381016"</f>
        <v>20381016</v>
      </c>
      <c r="L2358" t="s">
        <v>18</v>
      </c>
      <c r="M2358" t="str">
        <f>"20160905"</f>
        <v>20160905</v>
      </c>
    </row>
    <row r="2359" spans="1:13" x14ac:dyDescent="0.25">
      <c r="A2359" t="str">
        <f>"00871966"</f>
        <v>00871966</v>
      </c>
      <c r="B2359" t="s">
        <v>2552</v>
      </c>
      <c r="C2359" t="s">
        <v>327</v>
      </c>
      <c r="D2359" t="s">
        <v>16</v>
      </c>
      <c r="E2359" t="s">
        <v>16</v>
      </c>
      <c r="F2359" t="s">
        <v>17</v>
      </c>
      <c r="G2359" t="str">
        <f>"03"</f>
        <v>03</v>
      </c>
      <c r="H2359" t="str">
        <f>"3  "</f>
        <v xml:space="preserve">3  </v>
      </c>
      <c r="I2359" t="str">
        <f>"2019/05/10"</f>
        <v>2019/05/10</v>
      </c>
      <c r="J2359" t="str">
        <f>"110"</f>
        <v>110</v>
      </c>
      <c r="K2359" t="str">
        <f>"20320714"</f>
        <v>20320714</v>
      </c>
      <c r="L2359" t="s">
        <v>18</v>
      </c>
      <c r="M2359" t="str">
        <f>"20190129"</f>
        <v>20190129</v>
      </c>
    </row>
    <row r="2360" spans="1:13" x14ac:dyDescent="0.25">
      <c r="A2360" t="str">
        <f>"00752330"</f>
        <v>00752330</v>
      </c>
      <c r="B2360" t="s">
        <v>2557</v>
      </c>
      <c r="C2360" t="s">
        <v>2558</v>
      </c>
      <c r="D2360" t="s">
        <v>37</v>
      </c>
      <c r="E2360" t="s">
        <v>16</v>
      </c>
      <c r="F2360" t="s">
        <v>17</v>
      </c>
      <c r="G2360" t="str">
        <f>"03"</f>
        <v>03</v>
      </c>
      <c r="H2360" t="str">
        <f>"0  "</f>
        <v xml:space="preserve">0  </v>
      </c>
      <c r="I2360" t="str">
        <f>"2020/08/04"</f>
        <v>2020/08/04</v>
      </c>
      <c r="J2360" t="str">
        <f>"420"</f>
        <v>420</v>
      </c>
      <c r="K2360" t="s">
        <v>18</v>
      </c>
      <c r="L2360" t="s">
        <v>18</v>
      </c>
      <c r="M2360" t="s">
        <v>18</v>
      </c>
    </row>
    <row r="2361" spans="1:13" x14ac:dyDescent="0.25">
      <c r="A2361" t="str">
        <f>"00243268"</f>
        <v>00243268</v>
      </c>
      <c r="B2361" t="s">
        <v>2563</v>
      </c>
      <c r="C2361" t="s">
        <v>74</v>
      </c>
      <c r="D2361" t="s">
        <v>73</v>
      </c>
      <c r="E2361" t="s">
        <v>16</v>
      </c>
      <c r="F2361" t="s">
        <v>17</v>
      </c>
      <c r="G2361" t="str">
        <f>"03"</f>
        <v>03</v>
      </c>
      <c r="H2361" t="str">
        <f>"7  "</f>
        <v xml:space="preserve">7  </v>
      </c>
      <c r="I2361" t="str">
        <f>"1990/01/05"</f>
        <v>1990/01/05</v>
      </c>
      <c r="J2361" t="str">
        <f>"114"</f>
        <v>114</v>
      </c>
      <c r="K2361" t="s">
        <v>18</v>
      </c>
      <c r="L2361" t="s">
        <v>18</v>
      </c>
      <c r="M2361" t="str">
        <f>"19890927"</f>
        <v>19890927</v>
      </c>
    </row>
    <row r="2362" spans="1:13" x14ac:dyDescent="0.25">
      <c r="A2362" t="str">
        <f>"00910962"</f>
        <v>00910962</v>
      </c>
      <c r="B2362" t="s">
        <v>2564</v>
      </c>
      <c r="C2362" t="s">
        <v>471</v>
      </c>
      <c r="D2362" t="s">
        <v>25</v>
      </c>
      <c r="E2362" t="s">
        <v>16</v>
      </c>
      <c r="F2362" t="s">
        <v>17</v>
      </c>
      <c r="G2362" t="str">
        <f>"03"</f>
        <v>03</v>
      </c>
      <c r="H2362" t="str">
        <f>"3  "</f>
        <v xml:space="preserve">3  </v>
      </c>
      <c r="I2362" t="str">
        <f>"2020/03/01"</f>
        <v>2020/03/01</v>
      </c>
      <c r="J2362" t="str">
        <f>"110"</f>
        <v>110</v>
      </c>
      <c r="K2362" t="str">
        <f>"20240115"</f>
        <v>20240115</v>
      </c>
      <c r="L2362" t="s">
        <v>18</v>
      </c>
      <c r="M2362" t="str">
        <f>"20190704"</f>
        <v>20190704</v>
      </c>
    </row>
    <row r="2363" spans="1:13" x14ac:dyDescent="0.25">
      <c r="A2363" t="str">
        <f>"00414198"</f>
        <v>00414198</v>
      </c>
      <c r="B2363" t="s">
        <v>2571</v>
      </c>
      <c r="C2363" t="s">
        <v>327</v>
      </c>
      <c r="D2363" t="s">
        <v>25</v>
      </c>
      <c r="E2363" t="s">
        <v>26</v>
      </c>
      <c r="F2363" t="s">
        <v>17</v>
      </c>
      <c r="G2363" t="str">
        <f>"03"</f>
        <v>03</v>
      </c>
      <c r="H2363" t="str">
        <f>"3  "</f>
        <v xml:space="preserve">3  </v>
      </c>
      <c r="I2363" t="str">
        <f>"2015/09/01"</f>
        <v>2015/09/01</v>
      </c>
      <c r="J2363" t="str">
        <f>"512"</f>
        <v>512</v>
      </c>
      <c r="K2363" t="str">
        <f>"20231118"</f>
        <v>20231118</v>
      </c>
      <c r="L2363" t="s">
        <v>18</v>
      </c>
      <c r="M2363" t="str">
        <f>"20150803"</f>
        <v>20150803</v>
      </c>
    </row>
    <row r="2364" spans="1:13" x14ac:dyDescent="0.25">
      <c r="A2364" t="str">
        <f>"00651282"</f>
        <v>00651282</v>
      </c>
      <c r="B2364" t="s">
        <v>2574</v>
      </c>
      <c r="C2364" t="s">
        <v>313</v>
      </c>
      <c r="D2364" t="s">
        <v>25</v>
      </c>
      <c r="E2364" t="s">
        <v>26</v>
      </c>
      <c r="F2364" t="s">
        <v>17</v>
      </c>
      <c r="G2364" t="str">
        <f>"03"</f>
        <v>03</v>
      </c>
      <c r="H2364" t="str">
        <f>"3  "</f>
        <v xml:space="preserve">3  </v>
      </c>
      <c r="I2364" t="str">
        <f>"2019/08/04"</f>
        <v>2019/08/04</v>
      </c>
      <c r="J2364" t="str">
        <f>"110"</f>
        <v>110</v>
      </c>
      <c r="K2364" t="str">
        <f>"20200930"</f>
        <v>20200930</v>
      </c>
      <c r="L2364" t="s">
        <v>18</v>
      </c>
      <c r="M2364" t="str">
        <f>"20181231"</f>
        <v>20181231</v>
      </c>
    </row>
    <row r="2365" spans="1:13" x14ac:dyDescent="0.25">
      <c r="A2365" t="str">
        <f>"00728195"</f>
        <v>00728195</v>
      </c>
      <c r="B2365" t="s">
        <v>2576</v>
      </c>
      <c r="C2365" t="s">
        <v>1289</v>
      </c>
      <c r="D2365" t="s">
        <v>80</v>
      </c>
      <c r="E2365" t="s">
        <v>16</v>
      </c>
      <c r="F2365" t="s">
        <v>17</v>
      </c>
      <c r="G2365" t="str">
        <f>"03"</f>
        <v>03</v>
      </c>
      <c r="H2365" t="str">
        <f>"0  "</f>
        <v xml:space="preserve">0  </v>
      </c>
      <c r="I2365" t="str">
        <f>"2019/08/20"</f>
        <v>2019/08/20</v>
      </c>
      <c r="J2365" t="str">
        <f>"410"</f>
        <v>410</v>
      </c>
      <c r="K2365" t="s">
        <v>18</v>
      </c>
      <c r="L2365" t="s">
        <v>18</v>
      </c>
      <c r="M2365" t="s">
        <v>18</v>
      </c>
    </row>
    <row r="2366" spans="1:13" x14ac:dyDescent="0.25">
      <c r="A2366" t="str">
        <f>"00758002"</f>
        <v>00758002</v>
      </c>
      <c r="B2366" t="s">
        <v>2581</v>
      </c>
      <c r="C2366" t="s">
        <v>2582</v>
      </c>
      <c r="D2366" t="s">
        <v>25</v>
      </c>
      <c r="E2366" t="s">
        <v>26</v>
      </c>
      <c r="F2366" t="s">
        <v>17</v>
      </c>
      <c r="G2366" t="str">
        <f>"03"</f>
        <v>03</v>
      </c>
      <c r="H2366" t="str">
        <f>"0  "</f>
        <v xml:space="preserve">0  </v>
      </c>
      <c r="I2366" t="str">
        <f>"2020/09/07"</f>
        <v>2020/09/07</v>
      </c>
      <c r="J2366" t="str">
        <f>"410"</f>
        <v>410</v>
      </c>
      <c r="K2366" t="s">
        <v>18</v>
      </c>
      <c r="L2366" t="s">
        <v>18</v>
      </c>
      <c r="M2366" t="s">
        <v>18</v>
      </c>
    </row>
    <row r="2367" spans="1:13" x14ac:dyDescent="0.25">
      <c r="A2367" t="str">
        <f>"00251277"</f>
        <v>00251277</v>
      </c>
      <c r="B2367" t="s">
        <v>2589</v>
      </c>
      <c r="C2367" t="s">
        <v>817</v>
      </c>
      <c r="D2367" t="s">
        <v>31</v>
      </c>
      <c r="E2367" t="s">
        <v>16</v>
      </c>
      <c r="F2367" t="s">
        <v>17</v>
      </c>
      <c r="G2367" t="str">
        <f>"03"</f>
        <v>03</v>
      </c>
      <c r="H2367" t="str">
        <f>"3  "</f>
        <v xml:space="preserve">3  </v>
      </c>
      <c r="I2367" t="str">
        <f>"2019/12/18"</f>
        <v>2019/12/18</v>
      </c>
      <c r="J2367" t="str">
        <f>"110"</f>
        <v>110</v>
      </c>
      <c r="K2367" t="str">
        <f>"20220825"</f>
        <v>20220825</v>
      </c>
      <c r="L2367" t="s">
        <v>18</v>
      </c>
      <c r="M2367" t="str">
        <f>"20191218"</f>
        <v>20191218</v>
      </c>
    </row>
    <row r="2368" spans="1:13" x14ac:dyDescent="0.25">
      <c r="A2368" t="str">
        <f>"00161349"</f>
        <v>00161349</v>
      </c>
      <c r="B2368" t="s">
        <v>2592</v>
      </c>
      <c r="C2368" t="s">
        <v>169</v>
      </c>
      <c r="D2368" t="s">
        <v>40</v>
      </c>
      <c r="E2368" t="s">
        <v>16</v>
      </c>
      <c r="F2368" t="s">
        <v>17</v>
      </c>
      <c r="G2368" t="str">
        <f>"03"</f>
        <v>03</v>
      </c>
      <c r="H2368" t="str">
        <f>"7  "</f>
        <v xml:space="preserve">7  </v>
      </c>
      <c r="I2368" t="str">
        <f>"1992/11/29"</f>
        <v>1992/11/29</v>
      </c>
      <c r="J2368" t="str">
        <f>"510"</f>
        <v>510</v>
      </c>
      <c r="K2368" t="s">
        <v>18</v>
      </c>
      <c r="L2368" t="s">
        <v>18</v>
      </c>
      <c r="M2368" t="str">
        <f>"19800809"</f>
        <v>19800809</v>
      </c>
    </row>
    <row r="2369" spans="1:13" x14ac:dyDescent="0.25">
      <c r="A2369" t="str">
        <f>"00252341"</f>
        <v>00252341</v>
      </c>
      <c r="B2369" t="s">
        <v>2593</v>
      </c>
      <c r="C2369" t="s">
        <v>22</v>
      </c>
      <c r="D2369" t="s">
        <v>15</v>
      </c>
      <c r="E2369" t="s">
        <v>16</v>
      </c>
      <c r="F2369" t="s">
        <v>17</v>
      </c>
      <c r="G2369" t="str">
        <f>"03"</f>
        <v>03</v>
      </c>
      <c r="H2369" t="str">
        <f>"3  "</f>
        <v xml:space="preserve">3  </v>
      </c>
      <c r="I2369" t="str">
        <f>"2020/04/15"</f>
        <v>2020/04/15</v>
      </c>
      <c r="J2369" t="str">
        <f>"120"</f>
        <v>120</v>
      </c>
      <c r="K2369" t="str">
        <f>"20311202"</f>
        <v>20311202</v>
      </c>
      <c r="L2369" t="s">
        <v>18</v>
      </c>
      <c r="M2369" t="str">
        <f>"20200319"</f>
        <v>20200319</v>
      </c>
    </row>
    <row r="2370" spans="1:13" x14ac:dyDescent="0.25">
      <c r="A2370" t="str">
        <f>"00579475"</f>
        <v>00579475</v>
      </c>
      <c r="B2370" t="s">
        <v>2595</v>
      </c>
      <c r="C2370" t="s">
        <v>2596</v>
      </c>
      <c r="D2370" t="s">
        <v>25</v>
      </c>
      <c r="E2370" t="s">
        <v>26</v>
      </c>
      <c r="F2370" t="s">
        <v>17</v>
      </c>
      <c r="G2370" t="str">
        <f>"03"</f>
        <v>03</v>
      </c>
      <c r="H2370" t="str">
        <f>"3  "</f>
        <v xml:space="preserve">3  </v>
      </c>
      <c r="I2370" t="str">
        <f>"2018/09/17"</f>
        <v>2018/09/17</v>
      </c>
      <c r="J2370" t="str">
        <f>"110"</f>
        <v>110</v>
      </c>
      <c r="K2370" t="str">
        <f>"20230603"</f>
        <v>20230603</v>
      </c>
      <c r="L2370" t="s">
        <v>18</v>
      </c>
      <c r="M2370" t="str">
        <f>"20180327"</f>
        <v>20180327</v>
      </c>
    </row>
    <row r="2371" spans="1:13" x14ac:dyDescent="0.25">
      <c r="A2371" t="str">
        <f>"00881309"</f>
        <v>00881309</v>
      </c>
      <c r="B2371" t="s">
        <v>2598</v>
      </c>
      <c r="C2371" t="s">
        <v>48</v>
      </c>
      <c r="D2371" t="s">
        <v>51</v>
      </c>
      <c r="E2371" t="s">
        <v>16</v>
      </c>
      <c r="F2371" t="s">
        <v>17</v>
      </c>
      <c r="G2371" t="str">
        <f>"03"</f>
        <v>03</v>
      </c>
      <c r="H2371" t="str">
        <f>"0  "</f>
        <v xml:space="preserve">0  </v>
      </c>
      <c r="I2371" t="str">
        <f>"2020/01/15"</f>
        <v>2020/01/15</v>
      </c>
      <c r="J2371" t="str">
        <f>"410"</f>
        <v>410</v>
      </c>
      <c r="K2371" t="s">
        <v>18</v>
      </c>
      <c r="L2371" t="s">
        <v>18</v>
      </c>
      <c r="M2371" t="s">
        <v>18</v>
      </c>
    </row>
    <row r="2372" spans="1:13" x14ac:dyDescent="0.25">
      <c r="A2372" t="str">
        <f>"00872881"</f>
        <v>00872881</v>
      </c>
      <c r="B2372" t="s">
        <v>2613</v>
      </c>
      <c r="C2372" t="s">
        <v>1468</v>
      </c>
      <c r="D2372" t="s">
        <v>25</v>
      </c>
      <c r="E2372" t="s">
        <v>16</v>
      </c>
      <c r="F2372" t="s">
        <v>17</v>
      </c>
      <c r="G2372" t="str">
        <f>"03"</f>
        <v>03</v>
      </c>
      <c r="H2372" t="str">
        <f>"3  "</f>
        <v xml:space="preserve">3  </v>
      </c>
      <c r="I2372" t="str">
        <f>"2018/08/10"</f>
        <v>2018/08/10</v>
      </c>
      <c r="J2372" t="str">
        <f>"110"</f>
        <v>110</v>
      </c>
      <c r="K2372" t="str">
        <f>"20250124"</f>
        <v>20250124</v>
      </c>
      <c r="L2372" t="s">
        <v>18</v>
      </c>
      <c r="M2372" t="str">
        <f>"20180126"</f>
        <v>20180126</v>
      </c>
    </row>
    <row r="2373" spans="1:13" x14ac:dyDescent="0.25">
      <c r="A2373" t="str">
        <f>"00498966"</f>
        <v>00498966</v>
      </c>
      <c r="B2373" t="s">
        <v>2619</v>
      </c>
      <c r="C2373" t="s">
        <v>22</v>
      </c>
      <c r="D2373" t="s">
        <v>16</v>
      </c>
      <c r="E2373" t="s">
        <v>16</v>
      </c>
      <c r="F2373" t="s">
        <v>17</v>
      </c>
      <c r="G2373" t="str">
        <f>"03"</f>
        <v>03</v>
      </c>
      <c r="H2373" t="str">
        <f>"0  "</f>
        <v xml:space="preserve">0  </v>
      </c>
      <c r="I2373" t="str">
        <f>"2020/09/22"</f>
        <v>2020/09/22</v>
      </c>
      <c r="J2373" t="str">
        <f>"410"</f>
        <v>410</v>
      </c>
      <c r="K2373" t="s">
        <v>18</v>
      </c>
      <c r="L2373" t="s">
        <v>18</v>
      </c>
      <c r="M2373" t="s">
        <v>18</v>
      </c>
    </row>
    <row r="2374" spans="1:13" x14ac:dyDescent="0.25">
      <c r="A2374" t="str">
        <f>"00425281"</f>
        <v>00425281</v>
      </c>
      <c r="B2374" t="s">
        <v>2625</v>
      </c>
      <c r="C2374" t="s">
        <v>2325</v>
      </c>
      <c r="D2374" t="s">
        <v>25</v>
      </c>
      <c r="E2374" t="s">
        <v>26</v>
      </c>
      <c r="F2374" t="s">
        <v>17</v>
      </c>
      <c r="G2374" t="str">
        <f>"03"</f>
        <v>03</v>
      </c>
      <c r="H2374" t="str">
        <f>"0  "</f>
        <v xml:space="preserve">0  </v>
      </c>
      <c r="I2374" t="str">
        <f>"2020/09/19"</f>
        <v>2020/09/19</v>
      </c>
      <c r="J2374" t="str">
        <f>"410"</f>
        <v>410</v>
      </c>
      <c r="K2374" t="s">
        <v>18</v>
      </c>
      <c r="L2374" t="s">
        <v>18</v>
      </c>
      <c r="M2374" t="s">
        <v>18</v>
      </c>
    </row>
    <row r="2375" spans="1:13" x14ac:dyDescent="0.25">
      <c r="A2375" t="str">
        <f>"00252319"</f>
        <v>00252319</v>
      </c>
      <c r="B2375" t="s">
        <v>2627</v>
      </c>
      <c r="C2375" t="s">
        <v>44</v>
      </c>
      <c r="D2375" t="s">
        <v>80</v>
      </c>
      <c r="E2375" t="s">
        <v>16</v>
      </c>
      <c r="F2375" t="s">
        <v>17</v>
      </c>
      <c r="G2375" t="str">
        <f>"03"</f>
        <v>03</v>
      </c>
      <c r="H2375" t="str">
        <f>"3  "</f>
        <v xml:space="preserve">3  </v>
      </c>
      <c r="I2375" t="str">
        <f>"2011/11/09"</f>
        <v>2011/11/09</v>
      </c>
      <c r="J2375" t="str">
        <f>"110"</f>
        <v>110</v>
      </c>
      <c r="K2375" t="str">
        <f>"20241208"</f>
        <v>20241208</v>
      </c>
      <c r="L2375" t="s">
        <v>18</v>
      </c>
      <c r="M2375" t="str">
        <f>"20111007"</f>
        <v>20111007</v>
      </c>
    </row>
    <row r="2376" spans="1:13" x14ac:dyDescent="0.25">
      <c r="A2376" t="str">
        <f>"00838508"</f>
        <v>00838508</v>
      </c>
      <c r="B2376" t="s">
        <v>2629</v>
      </c>
      <c r="C2376" t="s">
        <v>2630</v>
      </c>
      <c r="D2376" t="s">
        <v>40</v>
      </c>
      <c r="E2376" t="s">
        <v>26</v>
      </c>
      <c r="F2376" t="s">
        <v>17</v>
      </c>
      <c r="G2376" t="str">
        <f>"03"</f>
        <v>03</v>
      </c>
      <c r="H2376" t="str">
        <f>"3  "</f>
        <v xml:space="preserve">3  </v>
      </c>
      <c r="I2376" t="str">
        <f>"2016/08/31"</f>
        <v>2016/08/31</v>
      </c>
      <c r="J2376" t="str">
        <f>"110"</f>
        <v>110</v>
      </c>
      <c r="K2376" t="str">
        <f>"20281115"</f>
        <v>20281115</v>
      </c>
      <c r="L2376" t="str">
        <f>"20201115"</f>
        <v>20201115</v>
      </c>
      <c r="M2376" t="str">
        <f>"20131125"</f>
        <v>20131125</v>
      </c>
    </row>
    <row r="2377" spans="1:13" x14ac:dyDescent="0.25">
      <c r="A2377" t="str">
        <f>"00935932"</f>
        <v>00935932</v>
      </c>
      <c r="B2377" t="s">
        <v>2634</v>
      </c>
      <c r="C2377" t="s">
        <v>66</v>
      </c>
      <c r="D2377" t="s">
        <v>51</v>
      </c>
      <c r="E2377" t="s">
        <v>16</v>
      </c>
      <c r="F2377" t="s">
        <v>17</v>
      </c>
      <c r="G2377" t="str">
        <f>"03"</f>
        <v>03</v>
      </c>
      <c r="H2377" t="str">
        <f>"0  "</f>
        <v xml:space="preserve">0  </v>
      </c>
      <c r="I2377" t="str">
        <f>"2020/08/28"</f>
        <v>2020/08/28</v>
      </c>
      <c r="J2377" t="str">
        <f>"410"</f>
        <v>410</v>
      </c>
      <c r="K2377" t="s">
        <v>18</v>
      </c>
      <c r="L2377" t="s">
        <v>18</v>
      </c>
      <c r="M2377" t="s">
        <v>18</v>
      </c>
    </row>
    <row r="2378" spans="1:13" x14ac:dyDescent="0.25">
      <c r="A2378" t="str">
        <f>"00324406"</f>
        <v>00324406</v>
      </c>
      <c r="B2378" t="s">
        <v>2637</v>
      </c>
      <c r="C2378" t="s">
        <v>125</v>
      </c>
      <c r="D2378" t="s">
        <v>21</v>
      </c>
      <c r="E2378" t="s">
        <v>16</v>
      </c>
      <c r="F2378" t="s">
        <v>17</v>
      </c>
      <c r="G2378" t="str">
        <f>"03"</f>
        <v>03</v>
      </c>
      <c r="H2378" t="str">
        <f>"0  "</f>
        <v xml:space="preserve">0  </v>
      </c>
      <c r="I2378" t="str">
        <f>"2020/08/18"</f>
        <v>2020/08/18</v>
      </c>
      <c r="J2378" t="str">
        <f>"410"</f>
        <v>410</v>
      </c>
      <c r="K2378" t="s">
        <v>18</v>
      </c>
      <c r="L2378" t="s">
        <v>18</v>
      </c>
      <c r="M2378" t="s">
        <v>18</v>
      </c>
    </row>
    <row r="2379" spans="1:13" x14ac:dyDescent="0.25">
      <c r="A2379" t="str">
        <f>"00577002"</f>
        <v>00577002</v>
      </c>
      <c r="B2379" t="s">
        <v>2646</v>
      </c>
      <c r="C2379" t="s">
        <v>66</v>
      </c>
      <c r="D2379" t="s">
        <v>40</v>
      </c>
      <c r="E2379" t="s">
        <v>16</v>
      </c>
      <c r="F2379" t="s">
        <v>17</v>
      </c>
      <c r="G2379" t="str">
        <f>"03"</f>
        <v>03</v>
      </c>
      <c r="H2379" t="str">
        <f>"0  "</f>
        <v xml:space="preserve">0  </v>
      </c>
      <c r="I2379" t="str">
        <f>"2020/06/01"</f>
        <v>2020/06/01</v>
      </c>
      <c r="J2379" t="str">
        <f>"420"</f>
        <v>420</v>
      </c>
      <c r="K2379" t="s">
        <v>18</v>
      </c>
      <c r="L2379" t="s">
        <v>18</v>
      </c>
      <c r="M2379" t="s">
        <v>18</v>
      </c>
    </row>
    <row r="2380" spans="1:13" x14ac:dyDescent="0.25">
      <c r="A2380" t="str">
        <f>"00268232"</f>
        <v>00268232</v>
      </c>
      <c r="B2380" t="s">
        <v>2649</v>
      </c>
      <c r="C2380" t="s">
        <v>55</v>
      </c>
      <c r="D2380" t="s">
        <v>61</v>
      </c>
      <c r="E2380" t="s">
        <v>26</v>
      </c>
      <c r="F2380" t="s">
        <v>17</v>
      </c>
      <c r="G2380" t="str">
        <f>"03"</f>
        <v>03</v>
      </c>
      <c r="H2380" t="str">
        <f>"0  "</f>
        <v xml:space="preserve">0  </v>
      </c>
      <c r="I2380" t="str">
        <f>"2020/09/15"</f>
        <v>2020/09/15</v>
      </c>
      <c r="J2380" t="str">
        <f>"420"</f>
        <v>420</v>
      </c>
      <c r="K2380" t="s">
        <v>18</v>
      </c>
      <c r="L2380" t="s">
        <v>18</v>
      </c>
      <c r="M2380" t="s">
        <v>18</v>
      </c>
    </row>
    <row r="2381" spans="1:13" x14ac:dyDescent="0.25">
      <c r="A2381" t="str">
        <f>"00736833"</f>
        <v>00736833</v>
      </c>
      <c r="B2381" t="s">
        <v>2650</v>
      </c>
      <c r="C2381" t="s">
        <v>191</v>
      </c>
      <c r="D2381" t="s">
        <v>25</v>
      </c>
      <c r="E2381" t="s">
        <v>26</v>
      </c>
      <c r="F2381" t="s">
        <v>17</v>
      </c>
      <c r="G2381" t="str">
        <f>"03"</f>
        <v>03</v>
      </c>
      <c r="H2381" t="str">
        <f>"3  "</f>
        <v xml:space="preserve">3  </v>
      </c>
      <c r="I2381" t="str">
        <f>"2019/11/25"</f>
        <v>2019/11/25</v>
      </c>
      <c r="J2381" t="str">
        <f>"110"</f>
        <v>110</v>
      </c>
      <c r="K2381" t="str">
        <f>"20360429"</f>
        <v>20360429</v>
      </c>
      <c r="L2381" t="s">
        <v>18</v>
      </c>
      <c r="M2381" t="str">
        <f>"20180408"</f>
        <v>20180408</v>
      </c>
    </row>
    <row r="2382" spans="1:13" x14ac:dyDescent="0.25">
      <c r="A2382" t="str">
        <f>"00284300"</f>
        <v>00284300</v>
      </c>
      <c r="B2382" t="s">
        <v>2650</v>
      </c>
      <c r="C2382" t="s">
        <v>176</v>
      </c>
      <c r="D2382" t="s">
        <v>25</v>
      </c>
      <c r="E2382" t="s">
        <v>26</v>
      </c>
      <c r="F2382" t="s">
        <v>17</v>
      </c>
      <c r="G2382" t="str">
        <f>"03"</f>
        <v>03</v>
      </c>
      <c r="H2382" t="str">
        <f>"1  "</f>
        <v xml:space="preserve">1  </v>
      </c>
      <c r="I2382" t="str">
        <f>"2020/08/27"</f>
        <v>2020/08/27</v>
      </c>
      <c r="J2382" t="str">
        <f>"512"</f>
        <v>512</v>
      </c>
      <c r="K2382" t="str">
        <f>"20200927"</f>
        <v>20200927</v>
      </c>
      <c r="L2382" t="s">
        <v>18</v>
      </c>
      <c r="M2382" t="str">
        <f>"20200803"</f>
        <v>20200803</v>
      </c>
    </row>
    <row r="2383" spans="1:13" x14ac:dyDescent="0.25">
      <c r="A2383" t="str">
        <f>"00873413"</f>
        <v>00873413</v>
      </c>
      <c r="B2383" t="s">
        <v>2651</v>
      </c>
      <c r="C2383" t="s">
        <v>2088</v>
      </c>
      <c r="D2383" t="s">
        <v>61</v>
      </c>
      <c r="E2383" t="s">
        <v>26</v>
      </c>
      <c r="F2383" t="s">
        <v>17</v>
      </c>
      <c r="G2383" t="str">
        <f>"03"</f>
        <v>03</v>
      </c>
      <c r="H2383" t="str">
        <f>"0  "</f>
        <v xml:space="preserve">0  </v>
      </c>
      <c r="I2383" t="str">
        <f>"2020/07/01"</f>
        <v>2020/07/01</v>
      </c>
      <c r="J2383" t="str">
        <f>"410"</f>
        <v>410</v>
      </c>
      <c r="K2383" t="s">
        <v>18</v>
      </c>
      <c r="L2383" t="s">
        <v>18</v>
      </c>
      <c r="M2383" t="s">
        <v>18</v>
      </c>
    </row>
    <row r="2384" spans="1:13" x14ac:dyDescent="0.25">
      <c r="A2384" t="str">
        <f>"00280791"</f>
        <v>00280791</v>
      </c>
      <c r="B2384" t="s">
        <v>2651</v>
      </c>
      <c r="C2384" t="s">
        <v>2657</v>
      </c>
      <c r="D2384" t="s">
        <v>97</v>
      </c>
      <c r="E2384" t="s">
        <v>26</v>
      </c>
      <c r="F2384" t="s">
        <v>17</v>
      </c>
      <c r="G2384" t="str">
        <f>"03"</f>
        <v>03</v>
      </c>
      <c r="H2384" t="str">
        <f>"3  "</f>
        <v xml:space="preserve">3  </v>
      </c>
      <c r="I2384" t="str">
        <f>"2020/05/19"</f>
        <v>2020/05/19</v>
      </c>
      <c r="J2384" t="str">
        <f>"120"</f>
        <v>120</v>
      </c>
      <c r="K2384" t="str">
        <f>"20260910"</f>
        <v>20260910</v>
      </c>
      <c r="L2384" t="s">
        <v>18</v>
      </c>
      <c r="M2384" t="str">
        <f>"20200519"</f>
        <v>20200519</v>
      </c>
    </row>
    <row r="2385" spans="1:13" x14ac:dyDescent="0.25">
      <c r="A2385" t="str">
        <f>"00401053"</f>
        <v>00401053</v>
      </c>
      <c r="B2385" t="s">
        <v>2659</v>
      </c>
      <c r="C2385" t="s">
        <v>59</v>
      </c>
      <c r="D2385" t="s">
        <v>15</v>
      </c>
      <c r="E2385" t="s">
        <v>16</v>
      </c>
      <c r="F2385" t="s">
        <v>17</v>
      </c>
      <c r="G2385" t="str">
        <f>"03"</f>
        <v>03</v>
      </c>
      <c r="H2385" t="str">
        <f>"1  "</f>
        <v xml:space="preserve">1  </v>
      </c>
      <c r="I2385" t="str">
        <f>"2020/01/15"</f>
        <v>2020/01/15</v>
      </c>
      <c r="J2385" t="str">
        <f>"110"</f>
        <v>110</v>
      </c>
      <c r="K2385" t="str">
        <f>"20201029"</f>
        <v>20201029</v>
      </c>
      <c r="L2385" t="s">
        <v>18</v>
      </c>
      <c r="M2385" t="str">
        <f>"20191123"</f>
        <v>20191123</v>
      </c>
    </row>
    <row r="2386" spans="1:13" x14ac:dyDescent="0.25">
      <c r="A2386" t="str">
        <f>"00646681"</f>
        <v>00646681</v>
      </c>
      <c r="B2386" t="s">
        <v>2666</v>
      </c>
      <c r="C2386" t="s">
        <v>75</v>
      </c>
      <c r="D2386" t="s">
        <v>142</v>
      </c>
      <c r="E2386" t="s">
        <v>26</v>
      </c>
      <c r="F2386" t="s">
        <v>17</v>
      </c>
      <c r="G2386" t="str">
        <f>"03"</f>
        <v>03</v>
      </c>
      <c r="H2386" t="str">
        <f>"0  "</f>
        <v xml:space="preserve">0  </v>
      </c>
      <c r="I2386" t="str">
        <f>"2019/12/21"</f>
        <v>2019/12/21</v>
      </c>
      <c r="J2386" t="str">
        <f>"410"</f>
        <v>410</v>
      </c>
      <c r="K2386" t="s">
        <v>18</v>
      </c>
      <c r="L2386" t="s">
        <v>18</v>
      </c>
      <c r="M2386" t="s">
        <v>18</v>
      </c>
    </row>
    <row r="2387" spans="1:13" x14ac:dyDescent="0.25">
      <c r="A2387" t="str">
        <f>"00922580"</f>
        <v>00922580</v>
      </c>
      <c r="B2387" t="s">
        <v>2672</v>
      </c>
      <c r="C2387" t="s">
        <v>1404</v>
      </c>
      <c r="D2387" t="s">
        <v>40</v>
      </c>
      <c r="E2387" t="s">
        <v>16</v>
      </c>
      <c r="F2387" t="s">
        <v>17</v>
      </c>
      <c r="G2387" t="str">
        <f>"03"</f>
        <v>03</v>
      </c>
      <c r="H2387" t="str">
        <f>"3  "</f>
        <v xml:space="preserve">3  </v>
      </c>
      <c r="I2387" t="str">
        <f>"2020/09/16"</f>
        <v>2020/09/16</v>
      </c>
      <c r="J2387" t="str">
        <f>"110"</f>
        <v>110</v>
      </c>
      <c r="K2387" t="str">
        <f>"20220911"</f>
        <v>20220911</v>
      </c>
      <c r="L2387" t="s">
        <v>18</v>
      </c>
      <c r="M2387" t="str">
        <f>"20191217"</f>
        <v>20191217</v>
      </c>
    </row>
    <row r="2388" spans="1:13" x14ac:dyDescent="0.25">
      <c r="A2388" t="str">
        <f>"00609133"</f>
        <v>00609133</v>
      </c>
      <c r="B2388" t="s">
        <v>2674</v>
      </c>
      <c r="C2388" t="s">
        <v>136</v>
      </c>
      <c r="D2388" t="s">
        <v>40</v>
      </c>
      <c r="E2388" t="s">
        <v>26</v>
      </c>
      <c r="F2388" t="s">
        <v>17</v>
      </c>
      <c r="G2388" t="str">
        <f>"03"</f>
        <v>03</v>
      </c>
      <c r="H2388" t="str">
        <f>"0  "</f>
        <v xml:space="preserve">0  </v>
      </c>
      <c r="I2388" t="str">
        <f>"2020/06/18"</f>
        <v>2020/06/18</v>
      </c>
      <c r="J2388" t="str">
        <f>"410"</f>
        <v>410</v>
      </c>
      <c r="K2388" t="s">
        <v>18</v>
      </c>
      <c r="L2388" t="s">
        <v>18</v>
      </c>
      <c r="M2388" t="s">
        <v>18</v>
      </c>
    </row>
    <row r="2389" spans="1:13" x14ac:dyDescent="0.25">
      <c r="A2389" t="str">
        <f>"00712682"</f>
        <v>00712682</v>
      </c>
      <c r="B2389" t="s">
        <v>2674</v>
      </c>
      <c r="C2389" t="s">
        <v>541</v>
      </c>
      <c r="D2389" t="s">
        <v>53</v>
      </c>
      <c r="E2389" t="s">
        <v>26</v>
      </c>
      <c r="F2389" t="s">
        <v>17</v>
      </c>
      <c r="G2389" t="str">
        <f>"03"</f>
        <v>03</v>
      </c>
      <c r="H2389" t="str">
        <f>"3  "</f>
        <v xml:space="preserve">3  </v>
      </c>
      <c r="I2389" t="str">
        <f>"2016/06/10"</f>
        <v>2016/06/10</v>
      </c>
      <c r="J2389" t="str">
        <f>"110"</f>
        <v>110</v>
      </c>
      <c r="K2389" t="str">
        <f>"20201102"</f>
        <v>20201102</v>
      </c>
      <c r="L2389" t="s">
        <v>18</v>
      </c>
      <c r="M2389" t="str">
        <f>"20150625"</f>
        <v>20150625</v>
      </c>
    </row>
    <row r="2390" spans="1:13" x14ac:dyDescent="0.25">
      <c r="A2390" t="str">
        <f>"00653635"</f>
        <v>00653635</v>
      </c>
      <c r="B2390" t="s">
        <v>2674</v>
      </c>
      <c r="C2390" t="s">
        <v>779</v>
      </c>
      <c r="D2390" t="s">
        <v>37</v>
      </c>
      <c r="E2390" t="s">
        <v>26</v>
      </c>
      <c r="F2390" t="s">
        <v>17</v>
      </c>
      <c r="G2390" t="str">
        <f>"03"</f>
        <v>03</v>
      </c>
      <c r="H2390" t="str">
        <f>"3  "</f>
        <v xml:space="preserve">3  </v>
      </c>
      <c r="I2390" t="str">
        <f>"2019/04/18"</f>
        <v>2019/04/18</v>
      </c>
      <c r="J2390" t="str">
        <f>"110"</f>
        <v>110</v>
      </c>
      <c r="K2390" t="str">
        <f>"20290226"</f>
        <v>20290226</v>
      </c>
      <c r="L2390" t="s">
        <v>18</v>
      </c>
      <c r="M2390" t="str">
        <f>"20180619"</f>
        <v>20180619</v>
      </c>
    </row>
    <row r="2391" spans="1:13" x14ac:dyDescent="0.25">
      <c r="A2391" t="str">
        <f>"00616468"</f>
        <v>00616468</v>
      </c>
      <c r="B2391" t="s">
        <v>2682</v>
      </c>
      <c r="C2391" t="s">
        <v>60</v>
      </c>
      <c r="D2391" t="s">
        <v>73</v>
      </c>
      <c r="E2391" t="s">
        <v>16</v>
      </c>
      <c r="F2391" t="s">
        <v>17</v>
      </c>
      <c r="G2391" t="str">
        <f>"03"</f>
        <v>03</v>
      </c>
      <c r="H2391" t="str">
        <f>"3  "</f>
        <v xml:space="preserve">3  </v>
      </c>
      <c r="I2391" t="str">
        <f>"2014/09/08"</f>
        <v>2014/09/08</v>
      </c>
      <c r="J2391" t="str">
        <f>"110"</f>
        <v>110</v>
      </c>
      <c r="K2391" t="str">
        <f>"20240803"</f>
        <v>20240803</v>
      </c>
      <c r="L2391" t="s">
        <v>18</v>
      </c>
      <c r="M2391" t="str">
        <f>"20130930"</f>
        <v>20130930</v>
      </c>
    </row>
    <row r="2392" spans="1:13" x14ac:dyDescent="0.25">
      <c r="A2392" t="str">
        <f>"00410030"</f>
        <v>00410030</v>
      </c>
      <c r="B2392" t="s">
        <v>2695</v>
      </c>
      <c r="C2392" t="s">
        <v>115</v>
      </c>
      <c r="D2392" t="s">
        <v>25</v>
      </c>
      <c r="E2392" t="s">
        <v>16</v>
      </c>
      <c r="F2392" t="s">
        <v>17</v>
      </c>
      <c r="G2392" t="str">
        <f>"03"</f>
        <v>03</v>
      </c>
      <c r="H2392" t="str">
        <f>"3  "</f>
        <v xml:space="preserve">3  </v>
      </c>
      <c r="I2392" t="str">
        <f>"2016/05/12"</f>
        <v>2016/05/12</v>
      </c>
      <c r="J2392" t="str">
        <f>"110"</f>
        <v>110</v>
      </c>
      <c r="K2392" t="str">
        <f>"20320317"</f>
        <v>20320317</v>
      </c>
      <c r="L2392" t="s">
        <v>18</v>
      </c>
      <c r="M2392" t="str">
        <f>"20160120"</f>
        <v>20160120</v>
      </c>
    </row>
    <row r="2393" spans="1:13" x14ac:dyDescent="0.25">
      <c r="A2393" t="str">
        <f>"00218776"</f>
        <v>00218776</v>
      </c>
      <c r="B2393" t="s">
        <v>2695</v>
      </c>
      <c r="C2393" t="s">
        <v>524</v>
      </c>
      <c r="D2393" t="s">
        <v>16</v>
      </c>
      <c r="E2393" t="s">
        <v>16</v>
      </c>
      <c r="F2393" t="s">
        <v>17</v>
      </c>
      <c r="G2393" t="str">
        <f>"03"</f>
        <v>03</v>
      </c>
      <c r="H2393" t="str">
        <f>"7  "</f>
        <v xml:space="preserve">7  </v>
      </c>
      <c r="I2393" t="str">
        <f>"1993/05/19"</f>
        <v>1993/05/19</v>
      </c>
      <c r="J2393" t="str">
        <f>"114"</f>
        <v>114</v>
      </c>
      <c r="K2393" t="s">
        <v>18</v>
      </c>
      <c r="L2393" t="s">
        <v>18</v>
      </c>
      <c r="M2393" t="str">
        <f>"19930113"</f>
        <v>19930113</v>
      </c>
    </row>
    <row r="2394" spans="1:13" x14ac:dyDescent="0.25">
      <c r="A2394" t="str">
        <f>"00227401"</f>
        <v>00227401</v>
      </c>
      <c r="B2394" t="s">
        <v>2695</v>
      </c>
      <c r="C2394" t="s">
        <v>74</v>
      </c>
      <c r="D2394" t="s">
        <v>37</v>
      </c>
      <c r="E2394" t="s">
        <v>26</v>
      </c>
      <c r="F2394" t="s">
        <v>17</v>
      </c>
      <c r="G2394" t="str">
        <f>"03"</f>
        <v>03</v>
      </c>
      <c r="H2394" t="str">
        <f>"3  "</f>
        <v xml:space="preserve">3  </v>
      </c>
      <c r="I2394" t="str">
        <f>"2019/10/07"</f>
        <v>2019/10/07</v>
      </c>
      <c r="J2394" t="str">
        <f>"110"</f>
        <v>110</v>
      </c>
      <c r="K2394" t="str">
        <f>"20380110"</f>
        <v>20380110</v>
      </c>
      <c r="L2394" t="s">
        <v>18</v>
      </c>
      <c r="M2394" t="str">
        <f>"20180322"</f>
        <v>20180322</v>
      </c>
    </row>
    <row r="2395" spans="1:13" x14ac:dyDescent="0.25">
      <c r="A2395" t="str">
        <f>"00834477"</f>
        <v>00834477</v>
      </c>
      <c r="B2395" t="s">
        <v>2704</v>
      </c>
      <c r="C2395" t="s">
        <v>2705</v>
      </c>
      <c r="D2395" t="s">
        <v>25</v>
      </c>
      <c r="E2395" t="s">
        <v>16</v>
      </c>
      <c r="F2395" t="s">
        <v>17</v>
      </c>
      <c r="G2395" t="str">
        <f>"03"</f>
        <v>03</v>
      </c>
      <c r="H2395" t="str">
        <f>"3  "</f>
        <v xml:space="preserve">3  </v>
      </c>
      <c r="I2395" t="str">
        <f>"2017/03/09"</f>
        <v>2017/03/09</v>
      </c>
      <c r="J2395" t="str">
        <f>"110"</f>
        <v>110</v>
      </c>
      <c r="K2395" t="str">
        <f>"20390118"</f>
        <v>20390118</v>
      </c>
      <c r="L2395" t="s">
        <v>18</v>
      </c>
      <c r="M2395" t="str">
        <f>"20160806"</f>
        <v>20160806</v>
      </c>
    </row>
    <row r="2396" spans="1:13" x14ac:dyDescent="0.25">
      <c r="A2396" t="str">
        <f>"00665223"</f>
        <v>00665223</v>
      </c>
      <c r="B2396" t="s">
        <v>2708</v>
      </c>
      <c r="C2396" t="s">
        <v>125</v>
      </c>
      <c r="D2396" t="s">
        <v>21</v>
      </c>
      <c r="E2396" t="s">
        <v>16</v>
      </c>
      <c r="F2396" t="s">
        <v>17</v>
      </c>
      <c r="G2396" t="str">
        <f>"03"</f>
        <v>03</v>
      </c>
      <c r="H2396" t="str">
        <f>"1  "</f>
        <v xml:space="preserve">1  </v>
      </c>
      <c r="I2396" t="str">
        <f>"2020/08/19"</f>
        <v>2020/08/19</v>
      </c>
      <c r="J2396" t="str">
        <f>"110"</f>
        <v>110</v>
      </c>
      <c r="K2396" t="str">
        <f>"20210206"</f>
        <v>20210206</v>
      </c>
      <c r="L2396" t="s">
        <v>18</v>
      </c>
      <c r="M2396" t="str">
        <f>"20200819"</f>
        <v>20200819</v>
      </c>
    </row>
    <row r="2397" spans="1:13" x14ac:dyDescent="0.25">
      <c r="A2397" t="str">
        <f>"00725171"</f>
        <v>00725171</v>
      </c>
      <c r="B2397" t="s">
        <v>2711</v>
      </c>
      <c r="C2397" t="s">
        <v>140</v>
      </c>
      <c r="D2397" t="s">
        <v>21</v>
      </c>
      <c r="E2397" t="s">
        <v>16</v>
      </c>
      <c r="F2397" t="s">
        <v>17</v>
      </c>
      <c r="G2397" t="str">
        <f>"03"</f>
        <v>03</v>
      </c>
      <c r="H2397" t="str">
        <f>"3  "</f>
        <v xml:space="preserve">3  </v>
      </c>
      <c r="I2397" t="str">
        <f>"2019/07/11"</f>
        <v>2019/07/11</v>
      </c>
      <c r="J2397" t="str">
        <f>"110"</f>
        <v>110</v>
      </c>
      <c r="K2397" t="str">
        <f>"20221211"</f>
        <v>20221211</v>
      </c>
      <c r="L2397" t="s">
        <v>18</v>
      </c>
      <c r="M2397" t="str">
        <f>"20190507"</f>
        <v>20190507</v>
      </c>
    </row>
    <row r="2398" spans="1:13" x14ac:dyDescent="0.25">
      <c r="A2398" t="str">
        <f>"00804632"</f>
        <v>00804632</v>
      </c>
      <c r="B2398" t="s">
        <v>2712</v>
      </c>
      <c r="C2398" t="s">
        <v>2010</v>
      </c>
      <c r="D2398" t="s">
        <v>25</v>
      </c>
      <c r="E2398" t="s">
        <v>16</v>
      </c>
      <c r="F2398" t="s">
        <v>17</v>
      </c>
      <c r="G2398" t="str">
        <f>"03"</f>
        <v>03</v>
      </c>
      <c r="H2398" t="str">
        <f>"3  "</f>
        <v xml:space="preserve">3  </v>
      </c>
      <c r="I2398" t="str">
        <f>"2019/11/27"</f>
        <v>2019/11/27</v>
      </c>
      <c r="J2398" t="str">
        <f>"512"</f>
        <v>512</v>
      </c>
      <c r="K2398" t="str">
        <f>"20210313"</f>
        <v>20210313</v>
      </c>
      <c r="L2398" t="s">
        <v>18</v>
      </c>
      <c r="M2398" t="str">
        <f>"20191113"</f>
        <v>20191113</v>
      </c>
    </row>
    <row r="2399" spans="1:13" x14ac:dyDescent="0.25">
      <c r="A2399" t="str">
        <f>"00444070"</f>
        <v>00444070</v>
      </c>
      <c r="B2399" t="s">
        <v>2721</v>
      </c>
      <c r="C2399" t="s">
        <v>762</v>
      </c>
      <c r="D2399" t="s">
        <v>45</v>
      </c>
      <c r="E2399" t="s">
        <v>16</v>
      </c>
      <c r="F2399" t="s">
        <v>17</v>
      </c>
      <c r="G2399" t="str">
        <f>"03"</f>
        <v>03</v>
      </c>
      <c r="H2399" t="str">
        <f>"3  "</f>
        <v xml:space="preserve">3  </v>
      </c>
      <c r="I2399" t="str">
        <f>"2018/03/22"</f>
        <v>2018/03/22</v>
      </c>
      <c r="J2399" t="str">
        <f>"110"</f>
        <v>110</v>
      </c>
      <c r="K2399" t="str">
        <f>"20261225"</f>
        <v>20261225</v>
      </c>
      <c r="L2399" t="s">
        <v>18</v>
      </c>
      <c r="M2399" t="str">
        <f>"20180119"</f>
        <v>20180119</v>
      </c>
    </row>
    <row r="2400" spans="1:13" x14ac:dyDescent="0.25">
      <c r="A2400" t="str">
        <f>"00610955"</f>
        <v>00610955</v>
      </c>
      <c r="B2400" t="s">
        <v>2732</v>
      </c>
      <c r="C2400" t="s">
        <v>2733</v>
      </c>
      <c r="D2400" t="s">
        <v>40</v>
      </c>
      <c r="E2400" t="s">
        <v>26</v>
      </c>
      <c r="F2400" t="s">
        <v>17</v>
      </c>
      <c r="G2400" t="str">
        <f>"03"</f>
        <v>03</v>
      </c>
      <c r="H2400" t="str">
        <f>"1  "</f>
        <v xml:space="preserve">1  </v>
      </c>
      <c r="I2400" t="str">
        <f>"2020/09/14"</f>
        <v>2020/09/14</v>
      </c>
      <c r="J2400" t="str">
        <f>"110"</f>
        <v>110</v>
      </c>
      <c r="K2400" t="str">
        <f>"20200928"</f>
        <v>20200928</v>
      </c>
      <c r="L2400" t="s">
        <v>18</v>
      </c>
      <c r="M2400" t="str">
        <f>"20200914"</f>
        <v>20200914</v>
      </c>
    </row>
    <row r="2401" spans="1:13" x14ac:dyDescent="0.25">
      <c r="A2401" t="str">
        <f>"00653942"</f>
        <v>00653942</v>
      </c>
      <c r="B2401" t="s">
        <v>2734</v>
      </c>
      <c r="C2401" t="s">
        <v>136</v>
      </c>
      <c r="D2401" t="s">
        <v>15</v>
      </c>
      <c r="E2401" t="s">
        <v>16</v>
      </c>
      <c r="F2401" t="s">
        <v>17</v>
      </c>
      <c r="G2401" t="str">
        <f>"03"</f>
        <v>03</v>
      </c>
      <c r="H2401" t="str">
        <f>"3  "</f>
        <v xml:space="preserve">3  </v>
      </c>
      <c r="I2401" t="str">
        <f>"2020/05/08"</f>
        <v>2020/05/08</v>
      </c>
      <c r="J2401" t="str">
        <f>"110"</f>
        <v>110</v>
      </c>
      <c r="K2401" t="str">
        <f>"20341010"</f>
        <v>20341010</v>
      </c>
      <c r="L2401" t="s">
        <v>18</v>
      </c>
      <c r="M2401" t="str">
        <f>"20200427"</f>
        <v>20200427</v>
      </c>
    </row>
    <row r="2402" spans="1:13" x14ac:dyDescent="0.25">
      <c r="A2402" t="str">
        <f>"00481607"</f>
        <v>00481607</v>
      </c>
      <c r="B2402" t="s">
        <v>2749</v>
      </c>
      <c r="C2402" t="s">
        <v>936</v>
      </c>
      <c r="D2402" t="s">
        <v>31</v>
      </c>
      <c r="E2402" t="s">
        <v>26</v>
      </c>
      <c r="F2402" t="s">
        <v>17</v>
      </c>
      <c r="G2402" t="str">
        <f>"03"</f>
        <v>03</v>
      </c>
      <c r="H2402" t="str">
        <f>"1  "</f>
        <v xml:space="preserve">1  </v>
      </c>
      <c r="I2402" t="str">
        <f>"2020/08/26"</f>
        <v>2020/08/26</v>
      </c>
      <c r="J2402" t="str">
        <f>"110"</f>
        <v>110</v>
      </c>
      <c r="K2402" t="str">
        <f>"20201216"</f>
        <v>20201216</v>
      </c>
      <c r="L2402" t="s">
        <v>18</v>
      </c>
      <c r="M2402" t="str">
        <f>"20200813"</f>
        <v>20200813</v>
      </c>
    </row>
    <row r="2403" spans="1:13" x14ac:dyDescent="0.25">
      <c r="A2403" t="str">
        <f>"00586158"</f>
        <v>00586158</v>
      </c>
      <c r="B2403" t="s">
        <v>2758</v>
      </c>
      <c r="C2403" t="s">
        <v>115</v>
      </c>
      <c r="D2403" t="s">
        <v>61</v>
      </c>
      <c r="E2403" t="s">
        <v>16</v>
      </c>
      <c r="F2403" t="s">
        <v>17</v>
      </c>
      <c r="G2403" t="str">
        <f>"03"</f>
        <v>03</v>
      </c>
      <c r="H2403" t="str">
        <f>"0  "</f>
        <v xml:space="preserve">0  </v>
      </c>
      <c r="I2403" t="str">
        <f>"2020/09/12"</f>
        <v>2020/09/12</v>
      </c>
      <c r="J2403" t="str">
        <f>"420"</f>
        <v>420</v>
      </c>
      <c r="K2403" t="s">
        <v>18</v>
      </c>
      <c r="L2403" t="s">
        <v>18</v>
      </c>
      <c r="M2403" t="s">
        <v>18</v>
      </c>
    </row>
    <row r="2404" spans="1:13" x14ac:dyDescent="0.25">
      <c r="A2404" t="str">
        <f>"00204516"</f>
        <v>00204516</v>
      </c>
      <c r="B2404" t="s">
        <v>2758</v>
      </c>
      <c r="C2404" t="s">
        <v>680</v>
      </c>
      <c r="D2404" t="s">
        <v>37</v>
      </c>
      <c r="E2404" t="s">
        <v>16</v>
      </c>
      <c r="F2404" t="s">
        <v>17</v>
      </c>
      <c r="G2404" t="str">
        <f>"03"</f>
        <v>03</v>
      </c>
      <c r="H2404" t="str">
        <f>"3  "</f>
        <v xml:space="preserve">3  </v>
      </c>
      <c r="I2404" t="str">
        <f>"2014/08/22"</f>
        <v>2014/08/22</v>
      </c>
      <c r="J2404" t="str">
        <f>"110"</f>
        <v>110</v>
      </c>
      <c r="K2404" t="str">
        <f>"20320508"</f>
        <v>20320508</v>
      </c>
      <c r="L2404" t="s">
        <v>18</v>
      </c>
      <c r="M2404" t="str">
        <f>"20131124"</f>
        <v>20131124</v>
      </c>
    </row>
    <row r="2405" spans="1:13" x14ac:dyDescent="0.25">
      <c r="A2405" t="str">
        <f>"00169404"</f>
        <v>00169404</v>
      </c>
      <c r="B2405" t="s">
        <v>2763</v>
      </c>
      <c r="C2405" t="s">
        <v>545</v>
      </c>
      <c r="D2405" t="s">
        <v>51</v>
      </c>
      <c r="E2405" t="s">
        <v>16</v>
      </c>
      <c r="F2405" t="s">
        <v>17</v>
      </c>
      <c r="G2405" t="str">
        <f>"03"</f>
        <v>03</v>
      </c>
      <c r="H2405" t="str">
        <f>"3  "</f>
        <v xml:space="preserve">3  </v>
      </c>
      <c r="I2405" t="str">
        <f>"2020/01/09"</f>
        <v>2020/01/09</v>
      </c>
      <c r="J2405" t="str">
        <f>"110"</f>
        <v>110</v>
      </c>
      <c r="K2405" t="str">
        <f>"20210807"</f>
        <v>20210807</v>
      </c>
      <c r="L2405" t="s">
        <v>18</v>
      </c>
      <c r="M2405" t="str">
        <f>"20191009"</f>
        <v>20191009</v>
      </c>
    </row>
    <row r="2406" spans="1:13" x14ac:dyDescent="0.25">
      <c r="A2406" t="str">
        <f>"00340817"</f>
        <v>00340817</v>
      </c>
      <c r="B2406" t="s">
        <v>2781</v>
      </c>
      <c r="C2406" t="s">
        <v>117</v>
      </c>
      <c r="D2406" t="s">
        <v>15</v>
      </c>
      <c r="E2406" t="s">
        <v>16</v>
      </c>
      <c r="F2406" t="s">
        <v>17</v>
      </c>
      <c r="G2406" t="str">
        <f>"03"</f>
        <v>03</v>
      </c>
      <c r="H2406" t="str">
        <f>"3  "</f>
        <v xml:space="preserve">3  </v>
      </c>
      <c r="I2406" t="str">
        <f>"2019/05/09"</f>
        <v>2019/05/09</v>
      </c>
      <c r="J2406" t="str">
        <f>"110"</f>
        <v>110</v>
      </c>
      <c r="K2406" t="str">
        <f>"20231017"</f>
        <v>20231017</v>
      </c>
      <c r="L2406" t="s">
        <v>18</v>
      </c>
      <c r="M2406" t="str">
        <f>"20190410"</f>
        <v>20190410</v>
      </c>
    </row>
    <row r="2407" spans="1:13" x14ac:dyDescent="0.25">
      <c r="A2407" t="str">
        <f>"00488629"</f>
        <v>00488629</v>
      </c>
      <c r="B2407" t="s">
        <v>2787</v>
      </c>
      <c r="C2407" t="s">
        <v>251</v>
      </c>
      <c r="D2407" t="s">
        <v>51</v>
      </c>
      <c r="E2407" t="s">
        <v>26</v>
      </c>
      <c r="F2407" t="s">
        <v>17</v>
      </c>
      <c r="G2407" t="str">
        <f>"03"</f>
        <v>03</v>
      </c>
      <c r="H2407" t="str">
        <f>"3  "</f>
        <v xml:space="preserve">3  </v>
      </c>
      <c r="I2407" t="str">
        <f>"2019/10/21"</f>
        <v>2019/10/21</v>
      </c>
      <c r="J2407" t="str">
        <f>"110"</f>
        <v>110</v>
      </c>
      <c r="K2407" t="str">
        <f>"20210709"</f>
        <v>20210709</v>
      </c>
      <c r="L2407" t="s">
        <v>18</v>
      </c>
      <c r="M2407" t="str">
        <f>"20190910"</f>
        <v>20190910</v>
      </c>
    </row>
    <row r="2408" spans="1:13" x14ac:dyDescent="0.25">
      <c r="A2408" t="str">
        <f>"00936472"</f>
        <v>00936472</v>
      </c>
      <c r="B2408" t="s">
        <v>2801</v>
      </c>
      <c r="C2408" t="s">
        <v>1289</v>
      </c>
      <c r="D2408" t="s">
        <v>25</v>
      </c>
      <c r="E2408" t="s">
        <v>26</v>
      </c>
      <c r="F2408" t="s">
        <v>17</v>
      </c>
      <c r="G2408" t="str">
        <f>"03"</f>
        <v>03</v>
      </c>
      <c r="H2408" t="str">
        <f>"0  "</f>
        <v xml:space="preserve">0  </v>
      </c>
      <c r="I2408" t="str">
        <f>"2020/09/06"</f>
        <v>2020/09/06</v>
      </c>
      <c r="J2408" t="str">
        <f>"420"</f>
        <v>420</v>
      </c>
      <c r="K2408" t="s">
        <v>18</v>
      </c>
      <c r="L2408" t="s">
        <v>18</v>
      </c>
      <c r="M2408" t="s">
        <v>18</v>
      </c>
    </row>
    <row r="2409" spans="1:13" x14ac:dyDescent="0.25">
      <c r="A2409" t="str">
        <f>"00242619"</f>
        <v>00242619</v>
      </c>
      <c r="B2409" t="s">
        <v>2803</v>
      </c>
      <c r="C2409" t="s">
        <v>136</v>
      </c>
      <c r="D2409" t="s">
        <v>45</v>
      </c>
      <c r="E2409" t="s">
        <v>26</v>
      </c>
      <c r="F2409" t="s">
        <v>17</v>
      </c>
      <c r="G2409" t="str">
        <f>"03"</f>
        <v>03</v>
      </c>
      <c r="H2409" t="str">
        <f>"3  "</f>
        <v xml:space="preserve">3  </v>
      </c>
      <c r="I2409" t="str">
        <f>"2017/09/13"</f>
        <v>2017/09/13</v>
      </c>
      <c r="J2409" t="str">
        <f>"110"</f>
        <v>110</v>
      </c>
      <c r="K2409" t="str">
        <f>"20210111"</f>
        <v>20210111</v>
      </c>
      <c r="L2409" t="s">
        <v>18</v>
      </c>
      <c r="M2409" t="str">
        <f>"20170826"</f>
        <v>20170826</v>
      </c>
    </row>
    <row r="2410" spans="1:13" x14ac:dyDescent="0.25">
      <c r="A2410" t="str">
        <f>"00672717"</f>
        <v>00672717</v>
      </c>
      <c r="B2410" t="s">
        <v>2806</v>
      </c>
      <c r="C2410" t="s">
        <v>777</v>
      </c>
      <c r="D2410" t="s">
        <v>25</v>
      </c>
      <c r="E2410" t="s">
        <v>26</v>
      </c>
      <c r="F2410" t="s">
        <v>17</v>
      </c>
      <c r="G2410" t="str">
        <f>"03"</f>
        <v>03</v>
      </c>
      <c r="H2410" t="str">
        <f>"3  "</f>
        <v xml:space="preserve">3  </v>
      </c>
      <c r="I2410" t="str">
        <f>"2014/05/09"</f>
        <v>2014/05/09</v>
      </c>
      <c r="J2410" t="str">
        <f>"110"</f>
        <v>110</v>
      </c>
      <c r="K2410" t="str">
        <f>"20260603"</f>
        <v>20260603</v>
      </c>
      <c r="L2410" t="s">
        <v>18</v>
      </c>
      <c r="M2410" t="str">
        <f>"20130920"</f>
        <v>20130920</v>
      </c>
    </row>
    <row r="2411" spans="1:13" x14ac:dyDescent="0.25">
      <c r="A2411" t="str">
        <f>"00687050"</f>
        <v>00687050</v>
      </c>
      <c r="B2411" t="s">
        <v>2808</v>
      </c>
      <c r="C2411" t="s">
        <v>1932</v>
      </c>
      <c r="D2411" t="s">
        <v>73</v>
      </c>
      <c r="E2411" t="s">
        <v>16</v>
      </c>
      <c r="F2411" t="s">
        <v>17</v>
      </c>
      <c r="G2411" t="str">
        <f>"03"</f>
        <v>03</v>
      </c>
      <c r="H2411" t="str">
        <f>"0  "</f>
        <v xml:space="preserve">0  </v>
      </c>
      <c r="I2411" t="str">
        <f>"2020/09/21"</f>
        <v>2020/09/21</v>
      </c>
      <c r="J2411" t="str">
        <f>"410"</f>
        <v>410</v>
      </c>
      <c r="K2411" t="s">
        <v>18</v>
      </c>
      <c r="L2411" t="s">
        <v>18</v>
      </c>
      <c r="M2411" t="s">
        <v>18</v>
      </c>
    </row>
    <row r="2412" spans="1:13" x14ac:dyDescent="0.25">
      <c r="A2412" t="str">
        <f>"00437748"</f>
        <v>00437748</v>
      </c>
      <c r="B2412" t="s">
        <v>2817</v>
      </c>
      <c r="C2412" t="s">
        <v>22</v>
      </c>
      <c r="D2412" t="s">
        <v>15</v>
      </c>
      <c r="E2412" t="s">
        <v>16</v>
      </c>
      <c r="F2412" t="s">
        <v>17</v>
      </c>
      <c r="G2412" t="str">
        <f>"03"</f>
        <v>03</v>
      </c>
      <c r="H2412" t="str">
        <f>"3  "</f>
        <v xml:space="preserve">3  </v>
      </c>
      <c r="I2412" t="str">
        <f>"2014/02/05"</f>
        <v>2014/02/05</v>
      </c>
      <c r="J2412" t="str">
        <f>"110"</f>
        <v>110</v>
      </c>
      <c r="K2412" t="str">
        <f>"20210512"</f>
        <v>20210512</v>
      </c>
      <c r="L2412" t="s">
        <v>18</v>
      </c>
      <c r="M2412" t="str">
        <f>"20121216"</f>
        <v>20121216</v>
      </c>
    </row>
    <row r="2413" spans="1:13" x14ac:dyDescent="0.25">
      <c r="A2413" t="str">
        <f>"00515679"</f>
        <v>00515679</v>
      </c>
      <c r="B2413" t="s">
        <v>2835</v>
      </c>
      <c r="C2413" t="s">
        <v>96</v>
      </c>
      <c r="D2413" t="s">
        <v>25</v>
      </c>
      <c r="E2413" t="s">
        <v>16</v>
      </c>
      <c r="F2413" t="s">
        <v>17</v>
      </c>
      <c r="G2413" t="str">
        <f>"03"</f>
        <v>03</v>
      </c>
      <c r="H2413" t="str">
        <f>"0  "</f>
        <v xml:space="preserve">0  </v>
      </c>
      <c r="I2413" t="str">
        <f>"2020/05/18"</f>
        <v>2020/05/18</v>
      </c>
      <c r="J2413" t="str">
        <f>"410"</f>
        <v>410</v>
      </c>
      <c r="K2413" t="s">
        <v>18</v>
      </c>
      <c r="L2413" t="s">
        <v>18</v>
      </c>
      <c r="M2413" t="s">
        <v>18</v>
      </c>
    </row>
    <row r="2414" spans="1:13" x14ac:dyDescent="0.25">
      <c r="A2414" t="str">
        <f>"00404240"</f>
        <v>00404240</v>
      </c>
      <c r="B2414" t="s">
        <v>2836</v>
      </c>
      <c r="C2414" t="s">
        <v>446</v>
      </c>
      <c r="D2414" t="s">
        <v>61</v>
      </c>
      <c r="E2414" t="s">
        <v>26</v>
      </c>
      <c r="F2414" t="s">
        <v>17</v>
      </c>
      <c r="G2414" t="str">
        <f>"03"</f>
        <v>03</v>
      </c>
      <c r="H2414" t="str">
        <f>"3  "</f>
        <v xml:space="preserve">3  </v>
      </c>
      <c r="I2414" t="str">
        <f>"2019/07/09"</f>
        <v>2019/07/09</v>
      </c>
      <c r="J2414" t="str">
        <f>"510"</f>
        <v>510</v>
      </c>
      <c r="K2414" t="str">
        <f>"20230725"</f>
        <v>20230725</v>
      </c>
      <c r="L2414" t="s">
        <v>18</v>
      </c>
      <c r="M2414" t="str">
        <f>"20150205"</f>
        <v>20150205</v>
      </c>
    </row>
    <row r="2415" spans="1:13" x14ac:dyDescent="0.25">
      <c r="A2415" t="str">
        <f>"00204764"</f>
        <v>00204764</v>
      </c>
      <c r="B2415" t="s">
        <v>2840</v>
      </c>
      <c r="C2415" t="s">
        <v>2841</v>
      </c>
      <c r="D2415" t="s">
        <v>40</v>
      </c>
      <c r="E2415" t="s">
        <v>16</v>
      </c>
      <c r="F2415" t="s">
        <v>17</v>
      </c>
      <c r="G2415" t="str">
        <f>"03"</f>
        <v>03</v>
      </c>
      <c r="H2415" t="str">
        <f>"3  "</f>
        <v xml:space="preserve">3  </v>
      </c>
      <c r="I2415" t="str">
        <f>"2019/11/01"</f>
        <v>2019/11/01</v>
      </c>
      <c r="J2415" t="str">
        <f>"110"</f>
        <v>110</v>
      </c>
      <c r="K2415" t="str">
        <f>"20220121"</f>
        <v>20220121</v>
      </c>
      <c r="L2415" t="s">
        <v>18</v>
      </c>
      <c r="M2415" t="str">
        <f>"20191010"</f>
        <v>20191010</v>
      </c>
    </row>
    <row r="2416" spans="1:13" x14ac:dyDescent="0.25">
      <c r="A2416" t="str">
        <f>"00893024"</f>
        <v>00893024</v>
      </c>
      <c r="B2416" t="s">
        <v>2849</v>
      </c>
      <c r="C2416" t="s">
        <v>2850</v>
      </c>
      <c r="D2416" t="s">
        <v>15</v>
      </c>
      <c r="E2416" t="s">
        <v>16</v>
      </c>
      <c r="F2416" t="s">
        <v>17</v>
      </c>
      <c r="G2416" t="str">
        <f>"03"</f>
        <v>03</v>
      </c>
      <c r="H2416" t="str">
        <f>"3  "</f>
        <v xml:space="preserve">3  </v>
      </c>
      <c r="I2416" t="str">
        <f>"2019/10/29"</f>
        <v>2019/10/29</v>
      </c>
      <c r="J2416" t="str">
        <f>"110"</f>
        <v>110</v>
      </c>
      <c r="K2416" t="str">
        <f>"20410305"</f>
        <v>20410305</v>
      </c>
      <c r="L2416" t="s">
        <v>18</v>
      </c>
      <c r="M2416" t="str">
        <f>"20181023"</f>
        <v>20181023</v>
      </c>
    </row>
    <row r="2417" spans="1:13" x14ac:dyDescent="0.25">
      <c r="A2417" t="str">
        <f>"00604359"</f>
        <v>00604359</v>
      </c>
      <c r="B2417" t="s">
        <v>2851</v>
      </c>
      <c r="C2417" t="s">
        <v>1435</v>
      </c>
      <c r="D2417" t="s">
        <v>26</v>
      </c>
      <c r="E2417" t="s">
        <v>16</v>
      </c>
      <c r="F2417" t="s">
        <v>17</v>
      </c>
      <c r="G2417" t="str">
        <f>"03"</f>
        <v>03</v>
      </c>
      <c r="H2417" t="str">
        <f>"1  "</f>
        <v xml:space="preserve">1  </v>
      </c>
      <c r="I2417" t="str">
        <f>"2020/09/17"</f>
        <v>2020/09/17</v>
      </c>
      <c r="J2417" t="str">
        <f>"110"</f>
        <v>110</v>
      </c>
      <c r="K2417" t="str">
        <f>"20201111"</f>
        <v>20201111</v>
      </c>
      <c r="L2417" t="s">
        <v>18</v>
      </c>
      <c r="M2417" t="str">
        <f>"20200917"</f>
        <v>20200917</v>
      </c>
    </row>
    <row r="2418" spans="1:13" x14ac:dyDescent="0.25">
      <c r="A2418" t="str">
        <f>"00277306"</f>
        <v>00277306</v>
      </c>
      <c r="B2418" t="s">
        <v>2854</v>
      </c>
      <c r="C2418" t="s">
        <v>369</v>
      </c>
      <c r="D2418" t="s">
        <v>15</v>
      </c>
      <c r="E2418" t="s">
        <v>16</v>
      </c>
      <c r="F2418" t="s">
        <v>17</v>
      </c>
      <c r="G2418" t="str">
        <f>"03"</f>
        <v>03</v>
      </c>
      <c r="H2418" t="str">
        <f>"0  "</f>
        <v xml:space="preserve">0  </v>
      </c>
      <c r="I2418" t="str">
        <f>"2020/03/27"</f>
        <v>2020/03/27</v>
      </c>
      <c r="J2418" t="str">
        <f>"420"</f>
        <v>420</v>
      </c>
      <c r="K2418" t="s">
        <v>18</v>
      </c>
      <c r="L2418" t="s">
        <v>18</v>
      </c>
      <c r="M2418" t="s">
        <v>18</v>
      </c>
    </row>
    <row r="2419" spans="1:13" x14ac:dyDescent="0.25">
      <c r="A2419" t="str">
        <f>"00657711"</f>
        <v>00657711</v>
      </c>
      <c r="B2419" t="s">
        <v>2855</v>
      </c>
      <c r="C2419" t="s">
        <v>302</v>
      </c>
      <c r="D2419" t="s">
        <v>15</v>
      </c>
      <c r="E2419" t="s">
        <v>26</v>
      </c>
      <c r="F2419" t="s">
        <v>17</v>
      </c>
      <c r="G2419" t="str">
        <f>"03"</f>
        <v>03</v>
      </c>
      <c r="H2419" t="str">
        <f>"3  "</f>
        <v xml:space="preserve">3  </v>
      </c>
      <c r="I2419" t="str">
        <f>"2020/01/23"</f>
        <v>2020/01/23</v>
      </c>
      <c r="J2419" t="str">
        <f>"512"</f>
        <v>512</v>
      </c>
      <c r="K2419" t="str">
        <f>"20250428"</f>
        <v>20250428</v>
      </c>
      <c r="L2419" t="s">
        <v>18</v>
      </c>
      <c r="M2419" t="str">
        <f>"20200121"</f>
        <v>20200121</v>
      </c>
    </row>
    <row r="2420" spans="1:13" x14ac:dyDescent="0.25">
      <c r="A2420" t="str">
        <f>"00596441"</f>
        <v>00596441</v>
      </c>
      <c r="B2420" t="s">
        <v>2858</v>
      </c>
      <c r="C2420" t="s">
        <v>135</v>
      </c>
      <c r="D2420" t="s">
        <v>53</v>
      </c>
      <c r="E2420" t="s">
        <v>16</v>
      </c>
      <c r="F2420" t="s">
        <v>17</v>
      </c>
      <c r="G2420" t="str">
        <f>"03"</f>
        <v>03</v>
      </c>
      <c r="H2420" t="str">
        <f>"3  "</f>
        <v xml:space="preserve">3  </v>
      </c>
      <c r="I2420" t="str">
        <f>"2020/02/08"</f>
        <v>2020/02/08</v>
      </c>
      <c r="J2420" t="str">
        <f>"120"</f>
        <v>120</v>
      </c>
      <c r="K2420" t="str">
        <f>"20220308"</f>
        <v>20220308</v>
      </c>
      <c r="L2420" t="s">
        <v>18</v>
      </c>
      <c r="M2420" t="str">
        <f>"20200121"</f>
        <v>20200121</v>
      </c>
    </row>
    <row r="2421" spans="1:13" x14ac:dyDescent="0.25">
      <c r="A2421" t="str">
        <f>"00878985"</f>
        <v>00878985</v>
      </c>
      <c r="B2421" t="s">
        <v>2863</v>
      </c>
      <c r="C2421" t="s">
        <v>2403</v>
      </c>
      <c r="D2421" t="s">
        <v>25</v>
      </c>
      <c r="E2421" t="s">
        <v>16</v>
      </c>
      <c r="F2421" t="s">
        <v>17</v>
      </c>
      <c r="G2421" t="str">
        <f>"03"</f>
        <v>03</v>
      </c>
      <c r="H2421" t="str">
        <f>"3  "</f>
        <v xml:space="preserve">3  </v>
      </c>
      <c r="I2421" t="str">
        <f>"2019/08/08"</f>
        <v>2019/08/08</v>
      </c>
      <c r="J2421" t="str">
        <f>"110"</f>
        <v>110</v>
      </c>
      <c r="K2421" t="str">
        <f>"20210708"</f>
        <v>20210708</v>
      </c>
      <c r="L2421" t="s">
        <v>18</v>
      </c>
      <c r="M2421" t="str">
        <f>"20190626"</f>
        <v>20190626</v>
      </c>
    </row>
    <row r="2422" spans="1:13" x14ac:dyDescent="0.25">
      <c r="A2422" t="str">
        <f>"00803971"</f>
        <v>00803971</v>
      </c>
      <c r="B2422" t="s">
        <v>2867</v>
      </c>
      <c r="C2422" t="s">
        <v>120</v>
      </c>
      <c r="D2422" t="s">
        <v>25</v>
      </c>
      <c r="E2422" t="s">
        <v>16</v>
      </c>
      <c r="F2422" t="s">
        <v>17</v>
      </c>
      <c r="G2422" t="str">
        <f>"03"</f>
        <v>03</v>
      </c>
      <c r="H2422" t="str">
        <f>"0  "</f>
        <v xml:space="preserve">0  </v>
      </c>
      <c r="I2422" t="str">
        <f>"2020/09/19"</f>
        <v>2020/09/19</v>
      </c>
      <c r="J2422" t="str">
        <f>"420"</f>
        <v>420</v>
      </c>
      <c r="K2422" t="s">
        <v>18</v>
      </c>
      <c r="L2422" t="s">
        <v>18</v>
      </c>
      <c r="M2422" t="s">
        <v>18</v>
      </c>
    </row>
    <row r="2423" spans="1:13" x14ac:dyDescent="0.25">
      <c r="A2423" t="str">
        <f>"00167242"</f>
        <v>00167242</v>
      </c>
      <c r="B2423" t="s">
        <v>2868</v>
      </c>
      <c r="C2423" t="s">
        <v>327</v>
      </c>
      <c r="D2423" t="s">
        <v>31</v>
      </c>
      <c r="E2423" t="s">
        <v>16</v>
      </c>
      <c r="F2423" t="s">
        <v>17</v>
      </c>
      <c r="G2423" t="str">
        <f>"03"</f>
        <v>03</v>
      </c>
      <c r="H2423" t="str">
        <f>"3  "</f>
        <v xml:space="preserve">3  </v>
      </c>
      <c r="I2423" t="str">
        <f>"2012/04/15"</f>
        <v>2012/04/15</v>
      </c>
      <c r="J2423" t="str">
        <f>"110"</f>
        <v>110</v>
      </c>
      <c r="K2423" t="str">
        <f>"20371129"</f>
        <v>20371129</v>
      </c>
      <c r="L2423" t="s">
        <v>18</v>
      </c>
      <c r="M2423" t="str">
        <f>"20111020"</f>
        <v>20111020</v>
      </c>
    </row>
    <row r="2424" spans="1:13" x14ac:dyDescent="0.25">
      <c r="A2424" t="str">
        <f>"00248273"</f>
        <v>00248273</v>
      </c>
      <c r="B2424" t="s">
        <v>2869</v>
      </c>
      <c r="C2424" t="s">
        <v>122</v>
      </c>
      <c r="D2424" t="s">
        <v>45</v>
      </c>
      <c r="E2424" t="s">
        <v>16</v>
      </c>
      <c r="F2424" t="s">
        <v>17</v>
      </c>
      <c r="G2424" t="str">
        <f>"03"</f>
        <v>03</v>
      </c>
      <c r="H2424" t="str">
        <f>"3  "</f>
        <v xml:space="preserve">3  </v>
      </c>
      <c r="I2424" t="str">
        <f>"2012/01/29"</f>
        <v>2012/01/29</v>
      </c>
      <c r="J2424" t="str">
        <f>"110"</f>
        <v>110</v>
      </c>
      <c r="K2424" t="str">
        <f>"20290806"</f>
        <v>20290806</v>
      </c>
      <c r="L2424" t="s">
        <v>18</v>
      </c>
      <c r="M2424" t="str">
        <f>"20120122"</f>
        <v>20120122</v>
      </c>
    </row>
    <row r="2425" spans="1:13" x14ac:dyDescent="0.25">
      <c r="A2425" t="str">
        <f>"00839473"</f>
        <v>00839473</v>
      </c>
      <c r="B2425" t="s">
        <v>2874</v>
      </c>
      <c r="C2425" t="s">
        <v>333</v>
      </c>
      <c r="D2425" t="s">
        <v>215</v>
      </c>
      <c r="E2425" t="s">
        <v>26</v>
      </c>
      <c r="F2425" t="s">
        <v>17</v>
      </c>
      <c r="G2425" t="str">
        <f>"03"</f>
        <v>03</v>
      </c>
      <c r="H2425" t="str">
        <f>"0  "</f>
        <v xml:space="preserve">0  </v>
      </c>
      <c r="I2425" t="str">
        <f>"2020/08/11"</f>
        <v>2020/08/11</v>
      </c>
      <c r="J2425" t="str">
        <f>"410"</f>
        <v>410</v>
      </c>
      <c r="K2425" t="s">
        <v>18</v>
      </c>
      <c r="L2425" t="s">
        <v>18</v>
      </c>
      <c r="M2425" t="s">
        <v>18</v>
      </c>
    </row>
    <row r="2426" spans="1:13" x14ac:dyDescent="0.25">
      <c r="A2426" t="str">
        <f>"00468733"</f>
        <v>00468733</v>
      </c>
      <c r="B2426" t="s">
        <v>2874</v>
      </c>
      <c r="C2426" t="s">
        <v>74</v>
      </c>
      <c r="D2426" t="s">
        <v>97</v>
      </c>
      <c r="E2426" t="s">
        <v>26</v>
      </c>
      <c r="F2426" t="s">
        <v>17</v>
      </c>
      <c r="G2426" t="str">
        <f>"03"</f>
        <v>03</v>
      </c>
      <c r="H2426" t="str">
        <f>"3  "</f>
        <v xml:space="preserve">3  </v>
      </c>
      <c r="I2426" t="str">
        <f>"2019/12/16"</f>
        <v>2019/12/16</v>
      </c>
      <c r="J2426" t="str">
        <f>"110"</f>
        <v>110</v>
      </c>
      <c r="K2426" t="str">
        <f>"20280815"</f>
        <v>20280815</v>
      </c>
      <c r="L2426" t="s">
        <v>18</v>
      </c>
      <c r="M2426" t="str">
        <f>"20190822"</f>
        <v>20190822</v>
      </c>
    </row>
    <row r="2427" spans="1:13" x14ac:dyDescent="0.25">
      <c r="A2427" t="str">
        <f>"00165324"</f>
        <v>00165324</v>
      </c>
      <c r="B2427" t="s">
        <v>2885</v>
      </c>
      <c r="C2427" t="s">
        <v>1177</v>
      </c>
      <c r="D2427" t="s">
        <v>31</v>
      </c>
      <c r="E2427" t="s">
        <v>26</v>
      </c>
      <c r="F2427" t="s">
        <v>17</v>
      </c>
      <c r="G2427" t="str">
        <f>"03"</f>
        <v>03</v>
      </c>
      <c r="H2427" t="str">
        <f>"3  "</f>
        <v xml:space="preserve">3  </v>
      </c>
      <c r="I2427" t="str">
        <f>"2019/10/21"</f>
        <v>2019/10/21</v>
      </c>
      <c r="J2427" t="str">
        <f>"110"</f>
        <v>110</v>
      </c>
      <c r="K2427" t="str">
        <f>"20201220"</f>
        <v>20201220</v>
      </c>
      <c r="L2427" t="s">
        <v>18</v>
      </c>
      <c r="M2427" t="str">
        <f>"20190326"</f>
        <v>20190326</v>
      </c>
    </row>
    <row r="2428" spans="1:13" x14ac:dyDescent="0.25">
      <c r="A2428" t="str">
        <f>"00591200"</f>
        <v>00591200</v>
      </c>
      <c r="B2428" t="s">
        <v>2885</v>
      </c>
      <c r="C2428" t="s">
        <v>327</v>
      </c>
      <c r="D2428" t="s">
        <v>40</v>
      </c>
      <c r="E2428" t="s">
        <v>26</v>
      </c>
      <c r="F2428" t="s">
        <v>17</v>
      </c>
      <c r="G2428" t="str">
        <f>"03"</f>
        <v>03</v>
      </c>
      <c r="H2428" t="str">
        <f>"3  "</f>
        <v xml:space="preserve">3  </v>
      </c>
      <c r="I2428" t="str">
        <f>"2020/09/09"</f>
        <v>2020/09/09</v>
      </c>
      <c r="J2428" t="str">
        <f>"502"</f>
        <v>502</v>
      </c>
      <c r="K2428" t="str">
        <f>"20260204"</f>
        <v>20260204</v>
      </c>
      <c r="L2428" t="s">
        <v>18</v>
      </c>
      <c r="M2428" t="str">
        <f>"20090811"</f>
        <v>20090811</v>
      </c>
    </row>
    <row r="2429" spans="1:13" x14ac:dyDescent="0.25">
      <c r="A2429" t="str">
        <f>"00589351"</f>
        <v>00589351</v>
      </c>
      <c r="B2429" t="s">
        <v>2889</v>
      </c>
      <c r="C2429" t="s">
        <v>135</v>
      </c>
      <c r="D2429" t="s">
        <v>51</v>
      </c>
      <c r="E2429" t="s">
        <v>16</v>
      </c>
      <c r="F2429" t="s">
        <v>17</v>
      </c>
      <c r="G2429" t="str">
        <f>"03"</f>
        <v>03</v>
      </c>
      <c r="H2429" t="str">
        <f>"3  "</f>
        <v xml:space="preserve">3  </v>
      </c>
      <c r="I2429" t="str">
        <f>"2020/09/03"</f>
        <v>2020/09/03</v>
      </c>
      <c r="J2429" t="str">
        <f>"502"</f>
        <v>502</v>
      </c>
      <c r="K2429" t="str">
        <f>"20220326"</f>
        <v>20220326</v>
      </c>
      <c r="L2429" t="s">
        <v>18</v>
      </c>
      <c r="M2429" t="str">
        <f>"20191217"</f>
        <v>20191217</v>
      </c>
    </row>
    <row r="2430" spans="1:13" x14ac:dyDescent="0.25">
      <c r="A2430" t="str">
        <f>"00211106"</f>
        <v>00211106</v>
      </c>
      <c r="B2430" t="s">
        <v>2893</v>
      </c>
      <c r="C2430" t="s">
        <v>169</v>
      </c>
      <c r="D2430" t="s">
        <v>80</v>
      </c>
      <c r="E2430" t="s">
        <v>16</v>
      </c>
      <c r="F2430" t="s">
        <v>17</v>
      </c>
      <c r="G2430" t="str">
        <f>"03"</f>
        <v>03</v>
      </c>
      <c r="H2430" t="str">
        <f>"3  "</f>
        <v xml:space="preserve">3  </v>
      </c>
      <c r="I2430" t="str">
        <f>"2020/04/06"</f>
        <v>2020/04/06</v>
      </c>
      <c r="J2430" t="str">
        <f>"110"</f>
        <v>110</v>
      </c>
      <c r="K2430" t="str">
        <f>"20250629"</f>
        <v>20250629</v>
      </c>
      <c r="L2430" t="s">
        <v>18</v>
      </c>
      <c r="M2430" t="str">
        <f>"20200126"</f>
        <v>20200126</v>
      </c>
    </row>
    <row r="2431" spans="1:13" x14ac:dyDescent="0.25">
      <c r="A2431" t="str">
        <f>"00782453"</f>
        <v>00782453</v>
      </c>
      <c r="B2431" t="s">
        <v>2897</v>
      </c>
      <c r="C2431" t="s">
        <v>680</v>
      </c>
      <c r="D2431" t="s">
        <v>26</v>
      </c>
      <c r="E2431" t="s">
        <v>16</v>
      </c>
      <c r="F2431" t="s">
        <v>17</v>
      </c>
      <c r="G2431" t="str">
        <f>"03"</f>
        <v>03</v>
      </c>
      <c r="H2431" t="str">
        <f>"0  "</f>
        <v xml:space="preserve">0  </v>
      </c>
      <c r="I2431" t="str">
        <f>"2019/04/23"</f>
        <v>2019/04/23</v>
      </c>
      <c r="J2431" t="str">
        <f>"410"</f>
        <v>410</v>
      </c>
      <c r="K2431" t="s">
        <v>18</v>
      </c>
      <c r="L2431" t="s">
        <v>18</v>
      </c>
      <c r="M2431" t="s">
        <v>18</v>
      </c>
    </row>
    <row r="2432" spans="1:13" x14ac:dyDescent="0.25">
      <c r="A2432" t="str">
        <f>"00680577"</f>
        <v>00680577</v>
      </c>
      <c r="B2432" t="s">
        <v>2899</v>
      </c>
      <c r="C2432" t="s">
        <v>2900</v>
      </c>
      <c r="D2432" t="s">
        <v>25</v>
      </c>
      <c r="E2432" t="s">
        <v>16</v>
      </c>
      <c r="F2432" t="s">
        <v>17</v>
      </c>
      <c r="G2432" t="str">
        <f>"03"</f>
        <v>03</v>
      </c>
      <c r="H2432" t="str">
        <f>"3  "</f>
        <v xml:space="preserve">3  </v>
      </c>
      <c r="I2432" t="str">
        <f>"2020/01/30"</f>
        <v>2020/01/30</v>
      </c>
      <c r="J2432" t="str">
        <f>"510"</f>
        <v>510</v>
      </c>
      <c r="K2432" t="str">
        <f>"20221208"</f>
        <v>20221208</v>
      </c>
      <c r="L2432" t="s">
        <v>18</v>
      </c>
      <c r="M2432" t="str">
        <f>"20160315"</f>
        <v>20160315</v>
      </c>
    </row>
    <row r="2433" spans="1:13" x14ac:dyDescent="0.25">
      <c r="A2433" t="str">
        <f>"00567411"</f>
        <v>00567411</v>
      </c>
      <c r="B2433" t="s">
        <v>2902</v>
      </c>
      <c r="C2433" t="s">
        <v>288</v>
      </c>
      <c r="D2433" t="s">
        <v>31</v>
      </c>
      <c r="E2433" t="s">
        <v>16</v>
      </c>
      <c r="F2433" t="s">
        <v>17</v>
      </c>
      <c r="G2433" t="str">
        <f>"03"</f>
        <v>03</v>
      </c>
      <c r="H2433" t="str">
        <f>"1  "</f>
        <v xml:space="preserve">1  </v>
      </c>
      <c r="I2433" t="str">
        <f>"2020/09/09"</f>
        <v>2020/09/09</v>
      </c>
      <c r="J2433" t="str">
        <f>"120"</f>
        <v>120</v>
      </c>
      <c r="K2433" t="str">
        <f>"20210102"</f>
        <v>20210102</v>
      </c>
      <c r="L2433" t="s">
        <v>18</v>
      </c>
      <c r="M2433" t="str">
        <f>"20200902"</f>
        <v>20200902</v>
      </c>
    </row>
    <row r="2434" spans="1:13" x14ac:dyDescent="0.25">
      <c r="A2434" t="str">
        <f>"00585856"</f>
        <v>00585856</v>
      </c>
      <c r="B2434" t="s">
        <v>2903</v>
      </c>
      <c r="C2434" t="s">
        <v>302</v>
      </c>
      <c r="D2434" t="s">
        <v>40</v>
      </c>
      <c r="E2434" t="s">
        <v>26</v>
      </c>
      <c r="F2434" t="s">
        <v>17</v>
      </c>
      <c r="G2434" t="str">
        <f>"03"</f>
        <v>03</v>
      </c>
      <c r="H2434" t="str">
        <f>"0  "</f>
        <v xml:space="preserve">0  </v>
      </c>
      <c r="I2434" t="str">
        <f>"2020/02/27"</f>
        <v>2020/02/27</v>
      </c>
      <c r="J2434" t="str">
        <f>"410"</f>
        <v>410</v>
      </c>
      <c r="K2434" t="s">
        <v>18</v>
      </c>
      <c r="L2434" t="s">
        <v>18</v>
      </c>
      <c r="M2434" t="s">
        <v>18</v>
      </c>
    </row>
    <row r="2435" spans="1:13" x14ac:dyDescent="0.25">
      <c r="A2435" t="str">
        <f>"00255020"</f>
        <v>00255020</v>
      </c>
      <c r="B2435" t="s">
        <v>2906</v>
      </c>
      <c r="C2435" t="s">
        <v>1829</v>
      </c>
      <c r="D2435" t="s">
        <v>61</v>
      </c>
      <c r="E2435" t="s">
        <v>16</v>
      </c>
      <c r="F2435" t="s">
        <v>17</v>
      </c>
      <c r="G2435" t="str">
        <f>"03"</f>
        <v>03</v>
      </c>
      <c r="H2435" t="str">
        <f>"3  "</f>
        <v xml:space="preserve">3  </v>
      </c>
      <c r="I2435" t="str">
        <f>"2020/01/03"</f>
        <v>2020/01/03</v>
      </c>
      <c r="J2435" t="str">
        <f>"110"</f>
        <v>110</v>
      </c>
      <c r="K2435" t="str">
        <f>"20210105"</f>
        <v>20210105</v>
      </c>
      <c r="L2435" t="s">
        <v>18</v>
      </c>
      <c r="M2435" t="str">
        <f>"20190319"</f>
        <v>20190319</v>
      </c>
    </row>
    <row r="2436" spans="1:13" x14ac:dyDescent="0.25">
      <c r="A2436" t="str">
        <f>"00843041"</f>
        <v>00843041</v>
      </c>
      <c r="B2436" t="s">
        <v>2911</v>
      </c>
      <c r="C2436" t="s">
        <v>2010</v>
      </c>
      <c r="D2436" t="s">
        <v>73</v>
      </c>
      <c r="E2436" t="s">
        <v>16</v>
      </c>
      <c r="F2436" t="s">
        <v>17</v>
      </c>
      <c r="G2436" t="str">
        <f>"03"</f>
        <v>03</v>
      </c>
      <c r="H2436" t="str">
        <f>"0  "</f>
        <v xml:space="preserve">0  </v>
      </c>
      <c r="I2436" t="str">
        <f>"2020/05/13"</f>
        <v>2020/05/13</v>
      </c>
      <c r="J2436" t="str">
        <f>"410"</f>
        <v>410</v>
      </c>
      <c r="K2436" t="s">
        <v>18</v>
      </c>
      <c r="L2436" t="s">
        <v>18</v>
      </c>
      <c r="M2436" t="s">
        <v>18</v>
      </c>
    </row>
    <row r="2437" spans="1:13" x14ac:dyDescent="0.25">
      <c r="A2437" t="str">
        <f>"00451488"</f>
        <v>00451488</v>
      </c>
      <c r="B2437" t="s">
        <v>2920</v>
      </c>
      <c r="C2437" t="s">
        <v>136</v>
      </c>
      <c r="D2437" t="s">
        <v>51</v>
      </c>
      <c r="E2437" t="s">
        <v>26</v>
      </c>
      <c r="F2437" t="s">
        <v>17</v>
      </c>
      <c r="G2437" t="str">
        <f>"03"</f>
        <v>03</v>
      </c>
      <c r="H2437" t="str">
        <f>"0  "</f>
        <v xml:space="preserve">0  </v>
      </c>
      <c r="I2437" t="str">
        <f>"2020/09/13"</f>
        <v>2020/09/13</v>
      </c>
      <c r="J2437" t="str">
        <f>"410"</f>
        <v>410</v>
      </c>
      <c r="K2437" t="s">
        <v>18</v>
      </c>
      <c r="L2437" t="s">
        <v>18</v>
      </c>
      <c r="M2437" t="s">
        <v>18</v>
      </c>
    </row>
    <row r="2438" spans="1:13" x14ac:dyDescent="0.25">
      <c r="A2438" t="str">
        <f>"00306619"</f>
        <v>00306619</v>
      </c>
      <c r="B2438" t="s">
        <v>2922</v>
      </c>
      <c r="C2438" t="s">
        <v>136</v>
      </c>
      <c r="D2438" t="s">
        <v>25</v>
      </c>
      <c r="E2438" t="s">
        <v>16</v>
      </c>
      <c r="F2438" t="s">
        <v>17</v>
      </c>
      <c r="G2438" t="str">
        <f>"03"</f>
        <v>03</v>
      </c>
      <c r="H2438" t="str">
        <f>"3  "</f>
        <v xml:space="preserve">3  </v>
      </c>
      <c r="I2438" t="str">
        <f>"2020/08/26"</f>
        <v>2020/08/26</v>
      </c>
      <c r="J2438" t="str">
        <f>"502"</f>
        <v>502</v>
      </c>
      <c r="K2438" t="str">
        <f>"20550721"</f>
        <v>20550721</v>
      </c>
      <c r="L2438" t="s">
        <v>18</v>
      </c>
      <c r="M2438" t="str">
        <f>"20130228"</f>
        <v>20130228</v>
      </c>
    </row>
    <row r="2439" spans="1:13" x14ac:dyDescent="0.25">
      <c r="A2439" t="str">
        <f>"00335275"</f>
        <v>00335275</v>
      </c>
      <c r="B2439" t="s">
        <v>2923</v>
      </c>
      <c r="C2439" t="s">
        <v>244</v>
      </c>
      <c r="D2439" t="s">
        <v>25</v>
      </c>
      <c r="E2439" t="s">
        <v>26</v>
      </c>
      <c r="F2439" t="s">
        <v>17</v>
      </c>
      <c r="G2439" t="str">
        <f>"03"</f>
        <v>03</v>
      </c>
      <c r="H2439" t="str">
        <f>"3  "</f>
        <v xml:space="preserve">3  </v>
      </c>
      <c r="I2439" t="str">
        <f>"2017/02/23"</f>
        <v>2017/02/23</v>
      </c>
      <c r="J2439" t="str">
        <f>"502"</f>
        <v>502</v>
      </c>
      <c r="K2439" t="str">
        <f>"20480713"</f>
        <v>20480713</v>
      </c>
      <c r="L2439" t="s">
        <v>18</v>
      </c>
      <c r="M2439" t="str">
        <f>"20130109"</f>
        <v>20130109</v>
      </c>
    </row>
    <row r="2440" spans="1:13" x14ac:dyDescent="0.25">
      <c r="A2440" t="str">
        <f>"00937456"</f>
        <v>00937456</v>
      </c>
      <c r="B2440" t="s">
        <v>2927</v>
      </c>
      <c r="C2440" t="s">
        <v>2928</v>
      </c>
      <c r="D2440" t="s">
        <v>25</v>
      </c>
      <c r="E2440" t="s">
        <v>16</v>
      </c>
      <c r="F2440" t="s">
        <v>17</v>
      </c>
      <c r="G2440" t="str">
        <f>"03"</f>
        <v>03</v>
      </c>
      <c r="H2440" t="str">
        <f>"0  "</f>
        <v xml:space="preserve">0  </v>
      </c>
      <c r="I2440" t="str">
        <f>"2020/09/20"</f>
        <v>2020/09/20</v>
      </c>
      <c r="J2440" t="str">
        <f>"420"</f>
        <v>420</v>
      </c>
      <c r="K2440" t="s">
        <v>18</v>
      </c>
      <c r="L2440" t="s">
        <v>18</v>
      </c>
      <c r="M2440" t="s">
        <v>18</v>
      </c>
    </row>
    <row r="2441" spans="1:13" x14ac:dyDescent="0.25">
      <c r="A2441" t="str">
        <f>"00593494"</f>
        <v>00593494</v>
      </c>
      <c r="B2441" t="s">
        <v>2929</v>
      </c>
      <c r="C2441" t="s">
        <v>186</v>
      </c>
      <c r="D2441" t="s">
        <v>15</v>
      </c>
      <c r="E2441" t="s">
        <v>16</v>
      </c>
      <c r="F2441" t="s">
        <v>17</v>
      </c>
      <c r="G2441" t="str">
        <f>"03"</f>
        <v>03</v>
      </c>
      <c r="H2441" t="str">
        <f>"0  "</f>
        <v xml:space="preserve">0  </v>
      </c>
      <c r="I2441" t="str">
        <f>"2020/06/24"</f>
        <v>2020/06/24</v>
      </c>
      <c r="J2441" t="str">
        <f>"410"</f>
        <v>410</v>
      </c>
      <c r="K2441" t="s">
        <v>18</v>
      </c>
      <c r="L2441" t="s">
        <v>18</v>
      </c>
      <c r="M2441" t="s">
        <v>18</v>
      </c>
    </row>
    <row r="2442" spans="1:13" x14ac:dyDescent="0.25">
      <c r="A2442" t="str">
        <f>"00844322"</f>
        <v>00844322</v>
      </c>
      <c r="B2442" t="s">
        <v>2932</v>
      </c>
      <c r="C2442" t="s">
        <v>744</v>
      </c>
      <c r="D2442" t="s">
        <v>25</v>
      </c>
      <c r="E2442" t="s">
        <v>16</v>
      </c>
      <c r="F2442" t="s">
        <v>17</v>
      </c>
      <c r="G2442" t="str">
        <f>"03"</f>
        <v>03</v>
      </c>
      <c r="H2442" t="str">
        <f>"3  "</f>
        <v xml:space="preserve">3  </v>
      </c>
      <c r="I2442" t="str">
        <f>"2018/11/09"</f>
        <v>2018/11/09</v>
      </c>
      <c r="J2442" t="str">
        <f>"110"</f>
        <v>110</v>
      </c>
      <c r="K2442" t="str">
        <f>"20211114"</f>
        <v>20211114</v>
      </c>
      <c r="L2442" t="s">
        <v>18</v>
      </c>
      <c r="M2442" t="str">
        <f>"20160701"</f>
        <v>20160701</v>
      </c>
    </row>
    <row r="2443" spans="1:13" x14ac:dyDescent="0.25">
      <c r="A2443" t="str">
        <f>"00295136"</f>
        <v>00295136</v>
      </c>
      <c r="B2443" t="s">
        <v>2934</v>
      </c>
      <c r="C2443" t="s">
        <v>2936</v>
      </c>
      <c r="D2443" t="s">
        <v>26</v>
      </c>
      <c r="E2443" t="s">
        <v>26</v>
      </c>
      <c r="F2443" t="s">
        <v>17</v>
      </c>
      <c r="G2443" t="str">
        <f>"03"</f>
        <v>03</v>
      </c>
      <c r="H2443" t="str">
        <f>"3  "</f>
        <v xml:space="preserve">3  </v>
      </c>
      <c r="I2443" t="str">
        <f>"2011/05/09"</f>
        <v>2011/05/09</v>
      </c>
      <c r="J2443" t="str">
        <f>"502"</f>
        <v>502</v>
      </c>
      <c r="K2443" t="str">
        <f>"20211108"</f>
        <v>20211108</v>
      </c>
      <c r="L2443" t="s">
        <v>18</v>
      </c>
      <c r="M2443" t="str">
        <f>"20081107"</f>
        <v>20081107</v>
      </c>
    </row>
    <row r="2444" spans="1:13" x14ac:dyDescent="0.25">
      <c r="A2444" t="str">
        <f>"00798017"</f>
        <v>00798017</v>
      </c>
      <c r="B2444" t="s">
        <v>2949</v>
      </c>
      <c r="C2444" t="s">
        <v>327</v>
      </c>
      <c r="D2444" t="s">
        <v>80</v>
      </c>
      <c r="E2444" t="s">
        <v>16</v>
      </c>
      <c r="F2444" t="s">
        <v>17</v>
      </c>
      <c r="G2444" t="str">
        <f>"03"</f>
        <v>03</v>
      </c>
      <c r="H2444" t="str">
        <f>"0  "</f>
        <v xml:space="preserve">0  </v>
      </c>
      <c r="I2444" t="str">
        <f>"2020/05/12"</f>
        <v>2020/05/12</v>
      </c>
      <c r="J2444" t="str">
        <f>"410"</f>
        <v>410</v>
      </c>
      <c r="K2444" t="s">
        <v>18</v>
      </c>
      <c r="L2444" t="s">
        <v>18</v>
      </c>
      <c r="M2444" t="s">
        <v>18</v>
      </c>
    </row>
    <row r="2445" spans="1:13" x14ac:dyDescent="0.25">
      <c r="A2445" t="str">
        <f>"00491106"</f>
        <v>00491106</v>
      </c>
      <c r="B2445" t="s">
        <v>2952</v>
      </c>
      <c r="C2445" t="s">
        <v>2953</v>
      </c>
      <c r="D2445" t="s">
        <v>61</v>
      </c>
      <c r="E2445" t="s">
        <v>26</v>
      </c>
      <c r="F2445" t="s">
        <v>17</v>
      </c>
      <c r="G2445" t="str">
        <f>"03"</f>
        <v>03</v>
      </c>
      <c r="H2445" t="str">
        <f>"0  "</f>
        <v xml:space="preserve">0  </v>
      </c>
      <c r="I2445" t="str">
        <f>"2020/03/12"</f>
        <v>2020/03/12</v>
      </c>
      <c r="J2445" t="str">
        <f>"410"</f>
        <v>410</v>
      </c>
      <c r="K2445" t="s">
        <v>18</v>
      </c>
      <c r="L2445" t="s">
        <v>18</v>
      </c>
      <c r="M2445" t="s">
        <v>18</v>
      </c>
    </row>
    <row r="2446" spans="1:13" x14ac:dyDescent="0.25">
      <c r="A2446" t="str">
        <f>"00898337"</f>
        <v>00898337</v>
      </c>
      <c r="B2446" t="s">
        <v>2954</v>
      </c>
      <c r="C2446" t="s">
        <v>269</v>
      </c>
      <c r="D2446" t="s">
        <v>15</v>
      </c>
      <c r="E2446" t="s">
        <v>16</v>
      </c>
      <c r="F2446" t="s">
        <v>17</v>
      </c>
      <c r="G2446" t="str">
        <f>"03"</f>
        <v>03</v>
      </c>
      <c r="H2446" t="str">
        <f>"0  "</f>
        <v xml:space="preserve">0  </v>
      </c>
      <c r="I2446" t="str">
        <f>"2020/09/16"</f>
        <v>2020/09/16</v>
      </c>
      <c r="J2446" t="str">
        <f>"420"</f>
        <v>420</v>
      </c>
      <c r="K2446" t="s">
        <v>18</v>
      </c>
      <c r="L2446" t="s">
        <v>18</v>
      </c>
      <c r="M2446" t="s">
        <v>18</v>
      </c>
    </row>
    <row r="2447" spans="1:13" x14ac:dyDescent="0.25">
      <c r="A2447" t="str">
        <f>"00846577"</f>
        <v>00846577</v>
      </c>
      <c r="B2447" t="s">
        <v>2955</v>
      </c>
      <c r="C2447" t="s">
        <v>117</v>
      </c>
      <c r="D2447" t="s">
        <v>51</v>
      </c>
      <c r="E2447" t="s">
        <v>26</v>
      </c>
      <c r="F2447" t="s">
        <v>17</v>
      </c>
      <c r="G2447" t="str">
        <f>"03"</f>
        <v>03</v>
      </c>
      <c r="H2447" t="str">
        <f>"3  "</f>
        <v xml:space="preserve">3  </v>
      </c>
      <c r="I2447" t="str">
        <f>"2019/01/03"</f>
        <v>2019/01/03</v>
      </c>
      <c r="J2447" t="str">
        <f>"110"</f>
        <v>110</v>
      </c>
      <c r="K2447" t="str">
        <f>"20210917"</f>
        <v>20210917</v>
      </c>
      <c r="L2447" t="s">
        <v>18</v>
      </c>
      <c r="M2447" t="str">
        <f>"20190103"</f>
        <v>20190103</v>
      </c>
    </row>
    <row r="2448" spans="1:13" x14ac:dyDescent="0.25">
      <c r="A2448" t="str">
        <f>"00279912"</f>
        <v>00279912</v>
      </c>
      <c r="B2448" t="s">
        <v>2962</v>
      </c>
      <c r="C2448" t="s">
        <v>48</v>
      </c>
      <c r="D2448" t="s">
        <v>73</v>
      </c>
      <c r="E2448" t="s">
        <v>16</v>
      </c>
      <c r="F2448" t="s">
        <v>17</v>
      </c>
      <c r="G2448" t="str">
        <f>"03"</f>
        <v>03</v>
      </c>
      <c r="H2448" t="str">
        <f>"3  "</f>
        <v xml:space="preserve">3  </v>
      </c>
      <c r="I2448" t="str">
        <f>"2019/06/18"</f>
        <v>2019/06/18</v>
      </c>
      <c r="J2448" t="str">
        <f>"120"</f>
        <v>120</v>
      </c>
      <c r="K2448" t="str">
        <f>"20430514"</f>
        <v>20430514</v>
      </c>
      <c r="L2448" t="s">
        <v>18</v>
      </c>
      <c r="M2448" t="str">
        <f>"20190618"</f>
        <v>20190618</v>
      </c>
    </row>
    <row r="2449" spans="1:13" x14ac:dyDescent="0.25">
      <c r="A2449" t="str">
        <f>"00189055"</f>
        <v>00189055</v>
      </c>
      <c r="B2449" t="s">
        <v>2962</v>
      </c>
      <c r="C2449" t="s">
        <v>362</v>
      </c>
      <c r="D2449" t="s">
        <v>91</v>
      </c>
      <c r="E2449" t="s">
        <v>26</v>
      </c>
      <c r="F2449" t="s">
        <v>17</v>
      </c>
      <c r="G2449" t="str">
        <f>"03"</f>
        <v>03</v>
      </c>
      <c r="H2449" t="str">
        <f>"3  "</f>
        <v xml:space="preserve">3  </v>
      </c>
      <c r="I2449" t="str">
        <f>"2020/08/12"</f>
        <v>2020/08/12</v>
      </c>
      <c r="J2449" t="str">
        <f>"502"</f>
        <v>502</v>
      </c>
      <c r="K2449" t="str">
        <f>"20270330"</f>
        <v>20270330</v>
      </c>
      <c r="L2449" t="s">
        <v>18</v>
      </c>
      <c r="M2449" t="str">
        <f>"20200101"</f>
        <v>20200101</v>
      </c>
    </row>
    <row r="2450" spans="1:13" x14ac:dyDescent="0.25">
      <c r="A2450" t="str">
        <f>"00712749"</f>
        <v>00712749</v>
      </c>
      <c r="B2450" t="s">
        <v>2962</v>
      </c>
      <c r="C2450" t="s">
        <v>1477</v>
      </c>
      <c r="D2450" t="s">
        <v>37</v>
      </c>
      <c r="E2450" t="s">
        <v>26</v>
      </c>
      <c r="F2450" t="s">
        <v>17</v>
      </c>
      <c r="G2450" t="str">
        <f>"03"</f>
        <v>03</v>
      </c>
      <c r="H2450" t="str">
        <f>"3  "</f>
        <v xml:space="preserve">3  </v>
      </c>
      <c r="I2450" t="str">
        <f>"2020/07/24"</f>
        <v>2020/07/24</v>
      </c>
      <c r="J2450" t="str">
        <f>"502"</f>
        <v>502</v>
      </c>
      <c r="K2450" t="str">
        <f>"20240810"</f>
        <v>20240810</v>
      </c>
      <c r="L2450" t="s">
        <v>18</v>
      </c>
      <c r="M2450" t="str">
        <f>"20121206"</f>
        <v>20121206</v>
      </c>
    </row>
    <row r="2451" spans="1:13" x14ac:dyDescent="0.25">
      <c r="A2451" t="str">
        <f>"00322813"</f>
        <v>00322813</v>
      </c>
      <c r="B2451" t="s">
        <v>2971</v>
      </c>
      <c r="C2451" t="s">
        <v>1062</v>
      </c>
      <c r="D2451" t="s">
        <v>182</v>
      </c>
      <c r="E2451" t="s">
        <v>26</v>
      </c>
      <c r="F2451" t="s">
        <v>17</v>
      </c>
      <c r="G2451" t="str">
        <f>"03"</f>
        <v>03</v>
      </c>
      <c r="H2451" t="str">
        <f>"0  "</f>
        <v xml:space="preserve">0  </v>
      </c>
      <c r="I2451" t="str">
        <f>"2018/12/05"</f>
        <v>2018/12/05</v>
      </c>
      <c r="J2451" t="str">
        <f>"410"</f>
        <v>410</v>
      </c>
      <c r="K2451" t="s">
        <v>18</v>
      </c>
      <c r="L2451" t="s">
        <v>18</v>
      </c>
      <c r="M2451" t="s">
        <v>18</v>
      </c>
    </row>
    <row r="2452" spans="1:13" x14ac:dyDescent="0.25">
      <c r="A2452" t="str">
        <f>"00170365"</f>
        <v>00170365</v>
      </c>
      <c r="B2452" t="s">
        <v>2979</v>
      </c>
      <c r="C2452" t="s">
        <v>55</v>
      </c>
      <c r="D2452" t="s">
        <v>61</v>
      </c>
      <c r="E2452" t="s">
        <v>26</v>
      </c>
      <c r="F2452" t="s">
        <v>17</v>
      </c>
      <c r="G2452" t="str">
        <f>"03"</f>
        <v>03</v>
      </c>
      <c r="H2452" t="str">
        <f>"0  "</f>
        <v xml:space="preserve">0  </v>
      </c>
      <c r="I2452" t="str">
        <f>"2020/09/17"</f>
        <v>2020/09/17</v>
      </c>
      <c r="J2452" t="str">
        <f>"410"</f>
        <v>410</v>
      </c>
      <c r="K2452" t="s">
        <v>18</v>
      </c>
      <c r="L2452" t="s">
        <v>18</v>
      </c>
      <c r="M2452" t="s">
        <v>18</v>
      </c>
    </row>
    <row r="2453" spans="1:13" x14ac:dyDescent="0.25">
      <c r="A2453" t="str">
        <f>"00870994"</f>
        <v>00870994</v>
      </c>
      <c r="B2453" t="s">
        <v>2981</v>
      </c>
      <c r="C2453" t="s">
        <v>664</v>
      </c>
      <c r="D2453" t="s">
        <v>21</v>
      </c>
      <c r="E2453" t="s">
        <v>26</v>
      </c>
      <c r="F2453" t="s">
        <v>17</v>
      </c>
      <c r="G2453" t="str">
        <f>"03"</f>
        <v>03</v>
      </c>
      <c r="H2453" t="str">
        <f>"3  "</f>
        <v xml:space="preserve">3  </v>
      </c>
      <c r="I2453" t="str">
        <f>"2020/09/03"</f>
        <v>2020/09/03</v>
      </c>
      <c r="J2453" t="str">
        <f>"502"</f>
        <v>502</v>
      </c>
      <c r="K2453" t="str">
        <f>"20280422"</f>
        <v>20280422</v>
      </c>
      <c r="L2453" t="s">
        <v>18</v>
      </c>
      <c r="M2453" t="str">
        <f>"20190411"</f>
        <v>20190411</v>
      </c>
    </row>
    <row r="2454" spans="1:13" x14ac:dyDescent="0.25">
      <c r="A2454" t="str">
        <f>"00226486"</f>
        <v>00226486</v>
      </c>
      <c r="B2454" t="s">
        <v>2982</v>
      </c>
      <c r="C2454" t="s">
        <v>2984</v>
      </c>
      <c r="D2454" t="s">
        <v>25</v>
      </c>
      <c r="E2454" t="s">
        <v>26</v>
      </c>
      <c r="F2454" t="s">
        <v>17</v>
      </c>
      <c r="G2454" t="str">
        <f>"03"</f>
        <v>03</v>
      </c>
      <c r="H2454" t="str">
        <f>"0  "</f>
        <v xml:space="preserve">0  </v>
      </c>
      <c r="I2454" t="str">
        <f>"2020/04/23"</f>
        <v>2020/04/23</v>
      </c>
      <c r="J2454" t="str">
        <f>"410"</f>
        <v>410</v>
      </c>
      <c r="K2454" t="s">
        <v>18</v>
      </c>
      <c r="L2454" t="s">
        <v>18</v>
      </c>
      <c r="M2454" t="s">
        <v>18</v>
      </c>
    </row>
    <row r="2455" spans="1:13" x14ac:dyDescent="0.25">
      <c r="A2455" t="str">
        <f>"00838866"</f>
        <v>00838866</v>
      </c>
      <c r="B2455" t="s">
        <v>2986</v>
      </c>
      <c r="C2455" t="s">
        <v>2987</v>
      </c>
      <c r="D2455" t="s">
        <v>15</v>
      </c>
      <c r="E2455" t="s">
        <v>16</v>
      </c>
      <c r="F2455" t="s">
        <v>17</v>
      </c>
      <c r="G2455" t="str">
        <f>"03"</f>
        <v>03</v>
      </c>
      <c r="H2455" t="str">
        <f>"0  "</f>
        <v xml:space="preserve">0  </v>
      </c>
      <c r="I2455" t="str">
        <f>"2020/05/02"</f>
        <v>2020/05/02</v>
      </c>
      <c r="J2455" t="str">
        <f>"420"</f>
        <v>420</v>
      </c>
      <c r="K2455" t="s">
        <v>18</v>
      </c>
      <c r="L2455" t="s">
        <v>18</v>
      </c>
      <c r="M2455" t="s">
        <v>18</v>
      </c>
    </row>
    <row r="2456" spans="1:13" x14ac:dyDescent="0.25">
      <c r="A2456" t="str">
        <f>"00679529"</f>
        <v>00679529</v>
      </c>
      <c r="B2456" t="s">
        <v>2995</v>
      </c>
      <c r="C2456" t="s">
        <v>790</v>
      </c>
      <c r="D2456" t="s">
        <v>21</v>
      </c>
      <c r="E2456" t="s">
        <v>26</v>
      </c>
      <c r="F2456" t="s">
        <v>17</v>
      </c>
      <c r="G2456" t="str">
        <f>"03"</f>
        <v>03</v>
      </c>
      <c r="H2456" t="str">
        <f>"0  "</f>
        <v xml:space="preserve">0  </v>
      </c>
      <c r="I2456" t="str">
        <f>"2020/01/14"</f>
        <v>2020/01/14</v>
      </c>
      <c r="J2456" t="str">
        <f>"410"</f>
        <v>410</v>
      </c>
      <c r="K2456" t="s">
        <v>18</v>
      </c>
      <c r="L2456" t="s">
        <v>18</v>
      </c>
      <c r="M2456" t="s">
        <v>18</v>
      </c>
    </row>
    <row r="2457" spans="1:13" x14ac:dyDescent="0.25">
      <c r="A2457" t="str">
        <f>"00532013"</f>
        <v>00532013</v>
      </c>
      <c r="B2457" t="s">
        <v>2997</v>
      </c>
      <c r="C2457" t="s">
        <v>767</v>
      </c>
      <c r="D2457" t="s">
        <v>45</v>
      </c>
      <c r="E2457" t="s">
        <v>16</v>
      </c>
      <c r="F2457" t="s">
        <v>17</v>
      </c>
      <c r="G2457" t="str">
        <f>"03"</f>
        <v>03</v>
      </c>
      <c r="H2457" t="str">
        <f>"3  "</f>
        <v xml:space="preserve">3  </v>
      </c>
      <c r="I2457" t="str">
        <f>"2010/01/29"</f>
        <v>2010/01/29</v>
      </c>
      <c r="J2457" t="str">
        <f>"502"</f>
        <v>502</v>
      </c>
      <c r="K2457" t="str">
        <f>"20230803"</f>
        <v>20230803</v>
      </c>
      <c r="L2457" t="s">
        <v>18</v>
      </c>
      <c r="M2457" t="str">
        <f>"20080905"</f>
        <v>20080905</v>
      </c>
    </row>
    <row r="2458" spans="1:13" x14ac:dyDescent="0.25">
      <c r="A2458" t="str">
        <f>"00183824"</f>
        <v>00183824</v>
      </c>
      <c r="B2458" t="s">
        <v>3008</v>
      </c>
      <c r="C2458" t="s">
        <v>664</v>
      </c>
      <c r="D2458" t="s">
        <v>61</v>
      </c>
      <c r="E2458" t="s">
        <v>26</v>
      </c>
      <c r="F2458" t="s">
        <v>17</v>
      </c>
      <c r="G2458" t="str">
        <f>"03"</f>
        <v>03</v>
      </c>
      <c r="H2458" t="str">
        <f>"3  "</f>
        <v xml:space="preserve">3  </v>
      </c>
      <c r="I2458" t="str">
        <f>"2017/11/08"</f>
        <v>2017/11/08</v>
      </c>
      <c r="J2458" t="str">
        <f>"110"</f>
        <v>110</v>
      </c>
      <c r="K2458" t="str">
        <f>"20210305"</f>
        <v>20210305</v>
      </c>
      <c r="L2458" t="s">
        <v>18</v>
      </c>
      <c r="M2458" t="str">
        <f>"20170123"</f>
        <v>20170123</v>
      </c>
    </row>
    <row r="2459" spans="1:13" x14ac:dyDescent="0.25">
      <c r="A2459" t="str">
        <f>"00727362"</f>
        <v>00727362</v>
      </c>
      <c r="B2459" t="s">
        <v>3010</v>
      </c>
      <c r="C2459" t="s">
        <v>3011</v>
      </c>
      <c r="D2459" t="s">
        <v>25</v>
      </c>
      <c r="E2459" t="s">
        <v>26</v>
      </c>
      <c r="F2459" t="s">
        <v>17</v>
      </c>
      <c r="G2459" t="str">
        <f>"03"</f>
        <v>03</v>
      </c>
      <c r="H2459" t="str">
        <f>"1  "</f>
        <v xml:space="preserve">1  </v>
      </c>
      <c r="I2459" t="str">
        <f>"2020/08/06"</f>
        <v>2020/08/06</v>
      </c>
      <c r="J2459" t="str">
        <f>"120"</f>
        <v>120</v>
      </c>
      <c r="K2459" t="str">
        <f>"20210403"</f>
        <v>20210403</v>
      </c>
      <c r="L2459" t="s">
        <v>18</v>
      </c>
      <c r="M2459" t="str">
        <f>"20200428"</f>
        <v>20200428</v>
      </c>
    </row>
    <row r="2460" spans="1:13" x14ac:dyDescent="0.25">
      <c r="A2460" t="str">
        <f>"00372873"</f>
        <v>00372873</v>
      </c>
      <c r="B2460" t="s">
        <v>3012</v>
      </c>
      <c r="C2460" t="s">
        <v>308</v>
      </c>
      <c r="D2460" t="s">
        <v>25</v>
      </c>
      <c r="E2460" t="s">
        <v>26</v>
      </c>
      <c r="F2460" t="s">
        <v>17</v>
      </c>
      <c r="G2460" t="str">
        <f>"03"</f>
        <v>03</v>
      </c>
      <c r="H2460" t="str">
        <f>"3  "</f>
        <v xml:space="preserve">3  </v>
      </c>
      <c r="I2460" t="str">
        <f>"2020/09/09"</f>
        <v>2020/09/09</v>
      </c>
      <c r="J2460" t="str">
        <f>"502"</f>
        <v>502</v>
      </c>
      <c r="K2460" t="str">
        <f>"20240821"</f>
        <v>20240821</v>
      </c>
      <c r="L2460" t="s">
        <v>18</v>
      </c>
      <c r="M2460" t="str">
        <f>"20150220"</f>
        <v>20150220</v>
      </c>
    </row>
    <row r="2461" spans="1:13" x14ac:dyDescent="0.25">
      <c r="A2461" t="str">
        <f>"00411597"</f>
        <v>00411597</v>
      </c>
      <c r="B2461" t="s">
        <v>3015</v>
      </c>
      <c r="C2461" t="s">
        <v>3016</v>
      </c>
      <c r="D2461" t="s">
        <v>51</v>
      </c>
      <c r="E2461" t="s">
        <v>26</v>
      </c>
      <c r="F2461" t="s">
        <v>17</v>
      </c>
      <c r="G2461" t="str">
        <f>"03"</f>
        <v>03</v>
      </c>
      <c r="H2461" t="str">
        <f>"3  "</f>
        <v xml:space="preserve">3  </v>
      </c>
      <c r="I2461" t="str">
        <f>"2019/04/26"</f>
        <v>2019/04/26</v>
      </c>
      <c r="J2461" t="str">
        <f>"502"</f>
        <v>502</v>
      </c>
      <c r="K2461" t="str">
        <f>"20201218"</f>
        <v>20201218</v>
      </c>
      <c r="L2461" t="s">
        <v>18</v>
      </c>
      <c r="M2461" t="str">
        <f>"20170724"</f>
        <v>20170724</v>
      </c>
    </row>
    <row r="2462" spans="1:13" x14ac:dyDescent="0.25">
      <c r="A2462" t="str">
        <f>"00593357"</f>
        <v>00593357</v>
      </c>
      <c r="B2462" t="s">
        <v>3018</v>
      </c>
      <c r="C2462" t="s">
        <v>169</v>
      </c>
      <c r="D2462" t="s">
        <v>61</v>
      </c>
      <c r="E2462" t="s">
        <v>26</v>
      </c>
      <c r="F2462" t="s">
        <v>17</v>
      </c>
      <c r="G2462" t="str">
        <f>"03"</f>
        <v>03</v>
      </c>
      <c r="H2462" t="str">
        <f>"3  "</f>
        <v xml:space="preserve">3  </v>
      </c>
      <c r="I2462" t="str">
        <f>"2019/09/11"</f>
        <v>2019/09/11</v>
      </c>
      <c r="J2462" t="str">
        <f>"110"</f>
        <v>110</v>
      </c>
      <c r="K2462" t="str">
        <f>"20211001"</f>
        <v>20211001</v>
      </c>
      <c r="L2462" t="s">
        <v>18</v>
      </c>
      <c r="M2462" t="str">
        <f>"20190820"</f>
        <v>20190820</v>
      </c>
    </row>
    <row r="2463" spans="1:13" x14ac:dyDescent="0.25">
      <c r="A2463" t="str">
        <f>"00190852"</f>
        <v>00190852</v>
      </c>
      <c r="B2463" t="s">
        <v>3020</v>
      </c>
      <c r="C2463" t="s">
        <v>117</v>
      </c>
      <c r="D2463" t="s">
        <v>15</v>
      </c>
      <c r="E2463" t="s">
        <v>26</v>
      </c>
      <c r="F2463" t="s">
        <v>17</v>
      </c>
      <c r="G2463" t="str">
        <f>"03"</f>
        <v>03</v>
      </c>
      <c r="H2463" t="str">
        <f>"3  "</f>
        <v xml:space="preserve">3  </v>
      </c>
      <c r="I2463" t="str">
        <f>"2018/12/31"</f>
        <v>2018/12/31</v>
      </c>
      <c r="J2463" t="str">
        <f>"110"</f>
        <v>110</v>
      </c>
      <c r="K2463" t="str">
        <f>"20270716"</f>
        <v>20270716</v>
      </c>
      <c r="L2463" t="s">
        <v>18</v>
      </c>
      <c r="M2463" t="str">
        <f>"20180830"</f>
        <v>20180830</v>
      </c>
    </row>
    <row r="2464" spans="1:13" x14ac:dyDescent="0.25">
      <c r="A2464" t="str">
        <f>"00238101"</f>
        <v>00238101</v>
      </c>
      <c r="B2464" t="s">
        <v>3032</v>
      </c>
      <c r="C2464" t="s">
        <v>552</v>
      </c>
      <c r="D2464" t="s">
        <v>80</v>
      </c>
      <c r="E2464" t="s">
        <v>26</v>
      </c>
      <c r="F2464" t="s">
        <v>17</v>
      </c>
      <c r="G2464" t="str">
        <f>"03"</f>
        <v>03</v>
      </c>
      <c r="H2464" t="str">
        <f>"1  "</f>
        <v xml:space="preserve">1  </v>
      </c>
      <c r="I2464" t="str">
        <f>"2019/12/07"</f>
        <v>2019/12/07</v>
      </c>
      <c r="J2464" t="str">
        <f>"120"</f>
        <v>120</v>
      </c>
      <c r="K2464" t="str">
        <f>"20201022"</f>
        <v>20201022</v>
      </c>
      <c r="L2464" t="s">
        <v>18</v>
      </c>
      <c r="M2464" t="str">
        <f>"20191205"</f>
        <v>20191205</v>
      </c>
    </row>
    <row r="2465" spans="1:13" x14ac:dyDescent="0.25">
      <c r="A2465" t="str">
        <f>"00857414"</f>
        <v>00857414</v>
      </c>
      <c r="B2465" t="s">
        <v>3034</v>
      </c>
      <c r="C2465" t="s">
        <v>3035</v>
      </c>
      <c r="D2465" t="s">
        <v>21</v>
      </c>
      <c r="E2465" t="s">
        <v>26</v>
      </c>
      <c r="F2465" t="s">
        <v>17</v>
      </c>
      <c r="G2465" t="str">
        <f>"03"</f>
        <v>03</v>
      </c>
      <c r="H2465" t="str">
        <f>"1  "</f>
        <v xml:space="preserve">1  </v>
      </c>
      <c r="I2465" t="str">
        <f>"2020/08/25"</f>
        <v>2020/08/25</v>
      </c>
      <c r="J2465" t="str">
        <f>"512"</f>
        <v>512</v>
      </c>
      <c r="K2465" t="str">
        <f>"20201208"</f>
        <v>20201208</v>
      </c>
      <c r="L2465" t="s">
        <v>18</v>
      </c>
      <c r="M2465" t="str">
        <f>"20200626"</f>
        <v>20200626</v>
      </c>
    </row>
    <row r="2466" spans="1:13" x14ac:dyDescent="0.25">
      <c r="A2466" t="str">
        <f>"00709746"</f>
        <v>00709746</v>
      </c>
      <c r="B2466" t="s">
        <v>3047</v>
      </c>
      <c r="C2466" t="s">
        <v>3049</v>
      </c>
      <c r="D2466" t="s">
        <v>51</v>
      </c>
      <c r="E2466" t="s">
        <v>26</v>
      </c>
      <c r="F2466" t="s">
        <v>17</v>
      </c>
      <c r="G2466" t="str">
        <f>"03"</f>
        <v>03</v>
      </c>
      <c r="H2466" t="str">
        <f>"0  "</f>
        <v xml:space="preserve">0  </v>
      </c>
      <c r="I2466" t="str">
        <f>"2020/09/17"</f>
        <v>2020/09/17</v>
      </c>
      <c r="J2466" t="str">
        <f>"410"</f>
        <v>410</v>
      </c>
      <c r="K2466" t="s">
        <v>18</v>
      </c>
      <c r="L2466" t="s">
        <v>18</v>
      </c>
      <c r="M2466" t="s">
        <v>18</v>
      </c>
    </row>
    <row r="2467" spans="1:13" x14ac:dyDescent="0.25">
      <c r="A2467" t="str">
        <f>"00801881"</f>
        <v>00801881</v>
      </c>
      <c r="B2467" t="s">
        <v>3063</v>
      </c>
      <c r="C2467" t="s">
        <v>3064</v>
      </c>
      <c r="D2467" t="s">
        <v>25</v>
      </c>
      <c r="E2467" t="s">
        <v>26</v>
      </c>
      <c r="F2467" t="s">
        <v>17</v>
      </c>
      <c r="G2467" t="str">
        <f>"03"</f>
        <v>03</v>
      </c>
      <c r="H2467" t="str">
        <f>"3  "</f>
        <v xml:space="preserve">3  </v>
      </c>
      <c r="I2467" t="str">
        <f>"2020/09/16"</f>
        <v>2020/09/16</v>
      </c>
      <c r="J2467" t="str">
        <f>"510"</f>
        <v>510</v>
      </c>
      <c r="K2467" t="str">
        <f>"20210415"</f>
        <v>20210415</v>
      </c>
      <c r="L2467" t="s">
        <v>18</v>
      </c>
      <c r="M2467" t="str">
        <f>"20170602"</f>
        <v>20170602</v>
      </c>
    </row>
    <row r="2468" spans="1:13" x14ac:dyDescent="0.25">
      <c r="A2468" t="str">
        <f>"00776817"</f>
        <v>00776817</v>
      </c>
      <c r="B2468" t="s">
        <v>3072</v>
      </c>
      <c r="C2468" t="s">
        <v>3073</v>
      </c>
      <c r="D2468" t="s">
        <v>25</v>
      </c>
      <c r="E2468" t="s">
        <v>16</v>
      </c>
      <c r="F2468" t="s">
        <v>17</v>
      </c>
      <c r="G2468" t="str">
        <f>"03"</f>
        <v>03</v>
      </c>
      <c r="H2468" t="str">
        <f>"3  "</f>
        <v xml:space="preserve">3  </v>
      </c>
      <c r="I2468" t="str">
        <f>"2014/12/03"</f>
        <v>2014/12/03</v>
      </c>
      <c r="J2468" t="str">
        <f>"110"</f>
        <v>110</v>
      </c>
      <c r="K2468" t="str">
        <f>"20280318"</f>
        <v>20280318</v>
      </c>
      <c r="L2468" t="s">
        <v>18</v>
      </c>
      <c r="M2468" t="str">
        <f>"20140910"</f>
        <v>20140910</v>
      </c>
    </row>
    <row r="2469" spans="1:13" x14ac:dyDescent="0.25">
      <c r="A2469" t="str">
        <f>"00820094"</f>
        <v>00820094</v>
      </c>
      <c r="B2469" t="s">
        <v>3077</v>
      </c>
      <c r="C2469" t="s">
        <v>3078</v>
      </c>
      <c r="D2469" t="s">
        <v>25</v>
      </c>
      <c r="E2469" t="s">
        <v>16</v>
      </c>
      <c r="F2469" t="s">
        <v>17</v>
      </c>
      <c r="G2469" t="str">
        <f>"03"</f>
        <v>03</v>
      </c>
      <c r="H2469" t="str">
        <f>"3  "</f>
        <v xml:space="preserve">3  </v>
      </c>
      <c r="I2469" t="str">
        <f>"2020/03/15"</f>
        <v>2020/03/15</v>
      </c>
      <c r="J2469" t="str">
        <f>"110"</f>
        <v>110</v>
      </c>
      <c r="K2469" t="str">
        <f>"20411218"</f>
        <v>20411218</v>
      </c>
      <c r="L2469" t="s">
        <v>18</v>
      </c>
      <c r="M2469" t="str">
        <f>"20190620"</f>
        <v>20190620</v>
      </c>
    </row>
    <row r="2470" spans="1:13" x14ac:dyDescent="0.25">
      <c r="A2470" t="str">
        <f>"00221161"</f>
        <v>00221161</v>
      </c>
      <c r="B2470" t="s">
        <v>3084</v>
      </c>
      <c r="C2470" t="s">
        <v>59</v>
      </c>
      <c r="D2470" t="s">
        <v>16</v>
      </c>
      <c r="E2470" t="s">
        <v>16</v>
      </c>
      <c r="F2470" t="s">
        <v>17</v>
      </c>
      <c r="G2470" t="str">
        <f>"03"</f>
        <v>03</v>
      </c>
      <c r="H2470" t="str">
        <f>"3  "</f>
        <v xml:space="preserve">3  </v>
      </c>
      <c r="I2470" t="str">
        <f>"2019/06/06"</f>
        <v>2019/06/06</v>
      </c>
      <c r="J2470" t="str">
        <f>"110"</f>
        <v>110</v>
      </c>
      <c r="K2470" t="str">
        <f>"20221012"</f>
        <v>20221012</v>
      </c>
      <c r="L2470" t="s">
        <v>18</v>
      </c>
      <c r="M2470" t="str">
        <f>"20190325"</f>
        <v>20190325</v>
      </c>
    </row>
    <row r="2471" spans="1:13" x14ac:dyDescent="0.25">
      <c r="A2471" t="str">
        <f>"00570699"</f>
        <v>00570699</v>
      </c>
      <c r="B2471" t="s">
        <v>3092</v>
      </c>
      <c r="C2471" t="s">
        <v>3093</v>
      </c>
      <c r="D2471" t="s">
        <v>25</v>
      </c>
      <c r="E2471" t="s">
        <v>26</v>
      </c>
      <c r="F2471" t="s">
        <v>17</v>
      </c>
      <c r="G2471" t="str">
        <f>"03"</f>
        <v>03</v>
      </c>
      <c r="H2471" t="str">
        <f>"7  "</f>
        <v xml:space="preserve">7  </v>
      </c>
      <c r="I2471" t="str">
        <f>"2019/11/14"</f>
        <v>2019/11/14</v>
      </c>
      <c r="J2471" t="str">
        <f>"510"</f>
        <v>510</v>
      </c>
      <c r="K2471" t="s">
        <v>18</v>
      </c>
      <c r="L2471" t="s">
        <v>18</v>
      </c>
      <c r="M2471" t="str">
        <f>"20121022"</f>
        <v>20121022</v>
      </c>
    </row>
    <row r="2472" spans="1:13" x14ac:dyDescent="0.25">
      <c r="A2472" t="str">
        <f>"00560784"</f>
        <v>00560784</v>
      </c>
      <c r="B2472" t="s">
        <v>3105</v>
      </c>
      <c r="C2472" t="s">
        <v>1828</v>
      </c>
      <c r="D2472" t="s">
        <v>15</v>
      </c>
      <c r="E2472" t="s">
        <v>26</v>
      </c>
      <c r="F2472" t="s">
        <v>17</v>
      </c>
      <c r="G2472" t="str">
        <f>"03"</f>
        <v>03</v>
      </c>
      <c r="H2472" t="str">
        <f>"3  "</f>
        <v xml:space="preserve">3  </v>
      </c>
      <c r="I2472" t="str">
        <f>"2019/12/13"</f>
        <v>2019/12/13</v>
      </c>
      <c r="J2472" t="str">
        <f>"110"</f>
        <v>110</v>
      </c>
      <c r="K2472" t="str">
        <f>"20210316"</f>
        <v>20210316</v>
      </c>
      <c r="L2472" t="s">
        <v>18</v>
      </c>
      <c r="M2472" t="str">
        <f>"20191213"</f>
        <v>20191213</v>
      </c>
    </row>
    <row r="2473" spans="1:13" x14ac:dyDescent="0.25">
      <c r="A2473" t="str">
        <f>"00521036"</f>
        <v>00521036</v>
      </c>
      <c r="B2473" t="s">
        <v>3106</v>
      </c>
      <c r="C2473" t="s">
        <v>897</v>
      </c>
      <c r="D2473" t="s">
        <v>25</v>
      </c>
      <c r="E2473" t="s">
        <v>26</v>
      </c>
      <c r="F2473" t="s">
        <v>17</v>
      </c>
      <c r="G2473" t="str">
        <f>"03"</f>
        <v>03</v>
      </c>
      <c r="H2473" t="str">
        <f>"0  "</f>
        <v xml:space="preserve">0  </v>
      </c>
      <c r="I2473" t="str">
        <f>"2020/05/01"</f>
        <v>2020/05/01</v>
      </c>
      <c r="J2473" t="str">
        <f>"410"</f>
        <v>410</v>
      </c>
      <c r="K2473" t="s">
        <v>18</v>
      </c>
      <c r="L2473" t="s">
        <v>18</v>
      </c>
      <c r="M2473" t="s">
        <v>18</v>
      </c>
    </row>
    <row r="2474" spans="1:13" x14ac:dyDescent="0.25">
      <c r="A2474" t="str">
        <f>"00826644"</f>
        <v>00826644</v>
      </c>
      <c r="B2474" t="s">
        <v>3106</v>
      </c>
      <c r="C2474" t="s">
        <v>3108</v>
      </c>
      <c r="D2474" t="s">
        <v>25</v>
      </c>
      <c r="E2474" t="s">
        <v>26</v>
      </c>
      <c r="F2474" t="s">
        <v>17</v>
      </c>
      <c r="G2474" t="str">
        <f>"03"</f>
        <v>03</v>
      </c>
      <c r="H2474" t="str">
        <f>"0  "</f>
        <v xml:space="preserve">0  </v>
      </c>
      <c r="I2474" t="str">
        <f>"2020/09/16"</f>
        <v>2020/09/16</v>
      </c>
      <c r="J2474" t="str">
        <f>"410"</f>
        <v>410</v>
      </c>
      <c r="K2474" t="s">
        <v>18</v>
      </c>
      <c r="L2474" t="s">
        <v>18</v>
      </c>
      <c r="M2474" t="s">
        <v>18</v>
      </c>
    </row>
    <row r="2475" spans="1:13" x14ac:dyDescent="0.25">
      <c r="A2475" t="str">
        <f>"00526500"</f>
        <v>00526500</v>
      </c>
      <c r="B2475" t="s">
        <v>3112</v>
      </c>
      <c r="C2475" t="s">
        <v>20</v>
      </c>
      <c r="D2475" t="s">
        <v>26</v>
      </c>
      <c r="E2475" t="s">
        <v>26</v>
      </c>
      <c r="F2475" t="s">
        <v>17</v>
      </c>
      <c r="G2475" t="str">
        <f>"03"</f>
        <v>03</v>
      </c>
      <c r="H2475" t="str">
        <f>"3  "</f>
        <v xml:space="preserve">3  </v>
      </c>
      <c r="I2475" t="str">
        <f>"2018/01/24"</f>
        <v>2018/01/24</v>
      </c>
      <c r="J2475" t="str">
        <f>"110"</f>
        <v>110</v>
      </c>
      <c r="K2475" t="str">
        <f>"20210224"</f>
        <v>20210224</v>
      </c>
      <c r="L2475" t="s">
        <v>18</v>
      </c>
      <c r="M2475" t="str">
        <f>"20171111"</f>
        <v>20171111</v>
      </c>
    </row>
    <row r="2476" spans="1:13" x14ac:dyDescent="0.25">
      <c r="A2476" t="str">
        <f>"00785673"</f>
        <v>00785673</v>
      </c>
      <c r="B2476" t="s">
        <v>3112</v>
      </c>
      <c r="C2476" t="s">
        <v>3114</v>
      </c>
      <c r="D2476" t="s">
        <v>25</v>
      </c>
      <c r="E2476" t="s">
        <v>26</v>
      </c>
      <c r="F2476" t="s">
        <v>17</v>
      </c>
      <c r="G2476" t="str">
        <f>"03"</f>
        <v>03</v>
      </c>
      <c r="H2476" t="str">
        <f>"0  "</f>
        <v xml:space="preserve">0  </v>
      </c>
      <c r="I2476" t="str">
        <f>"2018/05/23"</f>
        <v>2018/05/23</v>
      </c>
      <c r="J2476" t="str">
        <f>"410"</f>
        <v>410</v>
      </c>
      <c r="K2476" t="s">
        <v>18</v>
      </c>
      <c r="L2476" t="s">
        <v>18</v>
      </c>
      <c r="M2476" t="s">
        <v>18</v>
      </c>
    </row>
    <row r="2477" spans="1:13" x14ac:dyDescent="0.25">
      <c r="A2477" t="str">
        <f>"00876811"</f>
        <v>00876811</v>
      </c>
      <c r="B2477" t="s">
        <v>3121</v>
      </c>
      <c r="C2477" t="s">
        <v>398</v>
      </c>
      <c r="D2477" t="s">
        <v>40</v>
      </c>
      <c r="E2477" t="s">
        <v>16</v>
      </c>
      <c r="F2477" t="s">
        <v>17</v>
      </c>
      <c r="G2477" t="str">
        <f>"03"</f>
        <v>03</v>
      </c>
      <c r="H2477" t="str">
        <f>"0  "</f>
        <v xml:space="preserve">0  </v>
      </c>
      <c r="I2477" t="str">
        <f>"2019/12/09"</f>
        <v>2019/12/09</v>
      </c>
      <c r="J2477" t="str">
        <f>"420"</f>
        <v>420</v>
      </c>
      <c r="K2477" t="s">
        <v>18</v>
      </c>
      <c r="L2477" t="s">
        <v>18</v>
      </c>
      <c r="M2477" t="s">
        <v>18</v>
      </c>
    </row>
    <row r="2478" spans="1:13" x14ac:dyDescent="0.25">
      <c r="A2478" t="str">
        <f>"00356684"</f>
        <v>00356684</v>
      </c>
      <c r="B2478" t="s">
        <v>3132</v>
      </c>
      <c r="C2478" t="s">
        <v>3133</v>
      </c>
      <c r="D2478" t="s">
        <v>15</v>
      </c>
      <c r="E2478" t="s">
        <v>26</v>
      </c>
      <c r="F2478" t="s">
        <v>17</v>
      </c>
      <c r="G2478" t="str">
        <f>"03"</f>
        <v>03</v>
      </c>
      <c r="H2478" t="str">
        <f>"3  "</f>
        <v xml:space="preserve">3  </v>
      </c>
      <c r="I2478" t="str">
        <f>"2020/01/09"</f>
        <v>2020/01/09</v>
      </c>
      <c r="J2478" t="str">
        <f>"534"</f>
        <v>534</v>
      </c>
      <c r="K2478" t="str">
        <f>"20210708"</f>
        <v>20210708</v>
      </c>
      <c r="L2478" t="s">
        <v>18</v>
      </c>
      <c r="M2478" t="str">
        <f>"20130506"</f>
        <v>20130506</v>
      </c>
    </row>
    <row r="2479" spans="1:13" x14ac:dyDescent="0.25">
      <c r="A2479" t="str">
        <f>"00498277"</f>
        <v>00498277</v>
      </c>
      <c r="B2479" t="s">
        <v>3132</v>
      </c>
      <c r="C2479" t="s">
        <v>120</v>
      </c>
      <c r="D2479" t="s">
        <v>47</v>
      </c>
      <c r="E2479" t="s">
        <v>16</v>
      </c>
      <c r="F2479" t="s">
        <v>17</v>
      </c>
      <c r="G2479" t="str">
        <f>"03"</f>
        <v>03</v>
      </c>
      <c r="H2479" t="str">
        <f>"1  "</f>
        <v xml:space="preserve">1  </v>
      </c>
      <c r="I2479" t="str">
        <f>"2020/09/09"</f>
        <v>2020/09/09</v>
      </c>
      <c r="J2479" t="str">
        <f>"110"</f>
        <v>110</v>
      </c>
      <c r="K2479" t="str">
        <f>"20201109"</f>
        <v>20201109</v>
      </c>
      <c r="L2479" t="s">
        <v>18</v>
      </c>
      <c r="M2479" t="str">
        <f>"20200818"</f>
        <v>20200818</v>
      </c>
    </row>
    <row r="2480" spans="1:13" x14ac:dyDescent="0.25">
      <c r="A2480" t="str">
        <f>"00470349"</f>
        <v>00470349</v>
      </c>
      <c r="B2480" t="s">
        <v>3132</v>
      </c>
      <c r="C2480" t="s">
        <v>176</v>
      </c>
      <c r="D2480" t="s">
        <v>37</v>
      </c>
      <c r="E2480" t="s">
        <v>16</v>
      </c>
      <c r="F2480" t="s">
        <v>17</v>
      </c>
      <c r="G2480" t="str">
        <f>"03"</f>
        <v>03</v>
      </c>
      <c r="H2480" t="str">
        <f>"0  "</f>
        <v xml:space="preserve">0  </v>
      </c>
      <c r="I2480" t="str">
        <f>"2020/08/22"</f>
        <v>2020/08/22</v>
      </c>
      <c r="J2480" t="str">
        <f>"410"</f>
        <v>410</v>
      </c>
      <c r="K2480" t="s">
        <v>18</v>
      </c>
      <c r="L2480" t="s">
        <v>18</v>
      </c>
      <c r="M2480" t="s">
        <v>18</v>
      </c>
    </row>
    <row r="2481" spans="1:13" x14ac:dyDescent="0.25">
      <c r="A2481" t="str">
        <f>"00826730"</f>
        <v>00826730</v>
      </c>
      <c r="B2481" t="s">
        <v>3136</v>
      </c>
      <c r="C2481" t="s">
        <v>74</v>
      </c>
      <c r="D2481" t="s">
        <v>61</v>
      </c>
      <c r="E2481" t="s">
        <v>16</v>
      </c>
      <c r="F2481" t="s">
        <v>17</v>
      </c>
      <c r="G2481" t="str">
        <f>"03"</f>
        <v>03</v>
      </c>
      <c r="H2481" t="str">
        <f>"3  "</f>
        <v xml:space="preserve">3  </v>
      </c>
      <c r="I2481" t="str">
        <f>"2020/05/08"</f>
        <v>2020/05/08</v>
      </c>
      <c r="J2481" t="str">
        <f>"110"</f>
        <v>110</v>
      </c>
      <c r="K2481" t="str">
        <f>"20210429"</f>
        <v>20210429</v>
      </c>
      <c r="L2481" t="s">
        <v>18</v>
      </c>
      <c r="M2481" t="str">
        <f>"20191221"</f>
        <v>20191221</v>
      </c>
    </row>
    <row r="2482" spans="1:13" x14ac:dyDescent="0.25">
      <c r="A2482" t="str">
        <f>"00277280"</f>
        <v>00277280</v>
      </c>
      <c r="B2482" t="s">
        <v>3150</v>
      </c>
      <c r="C2482" t="s">
        <v>3151</v>
      </c>
      <c r="D2482" t="s">
        <v>142</v>
      </c>
      <c r="E2482" t="s">
        <v>26</v>
      </c>
      <c r="F2482" t="s">
        <v>17</v>
      </c>
      <c r="G2482" t="str">
        <f>"03"</f>
        <v>03</v>
      </c>
      <c r="H2482" t="str">
        <f>"3  "</f>
        <v xml:space="preserve">3  </v>
      </c>
      <c r="I2482" t="str">
        <f>"2019/09/04"</f>
        <v>2019/09/04</v>
      </c>
      <c r="J2482" t="str">
        <f>"110"</f>
        <v>110</v>
      </c>
      <c r="K2482" t="str">
        <f>"20231227"</f>
        <v>20231227</v>
      </c>
      <c r="L2482" t="s">
        <v>18</v>
      </c>
      <c r="M2482" t="str">
        <f>"20190708"</f>
        <v>20190708</v>
      </c>
    </row>
    <row r="2483" spans="1:13" x14ac:dyDescent="0.25">
      <c r="A2483" t="str">
        <f>"00510859"</f>
        <v>00510859</v>
      </c>
      <c r="B2483" t="s">
        <v>3153</v>
      </c>
      <c r="C2483" t="s">
        <v>150</v>
      </c>
      <c r="D2483" t="s">
        <v>51</v>
      </c>
      <c r="E2483" t="s">
        <v>16</v>
      </c>
      <c r="F2483" t="s">
        <v>17</v>
      </c>
      <c r="G2483" t="str">
        <f>"03"</f>
        <v>03</v>
      </c>
      <c r="H2483" t="str">
        <f>"0  "</f>
        <v xml:space="preserve">0  </v>
      </c>
      <c r="I2483" t="str">
        <f>"2020/09/03"</f>
        <v>2020/09/03</v>
      </c>
      <c r="J2483" t="str">
        <f>"410"</f>
        <v>410</v>
      </c>
      <c r="K2483" t="s">
        <v>18</v>
      </c>
      <c r="L2483" t="s">
        <v>18</v>
      </c>
      <c r="M2483" t="s">
        <v>18</v>
      </c>
    </row>
    <row r="2484" spans="1:13" x14ac:dyDescent="0.25">
      <c r="A2484" t="str">
        <f>"00308081"</f>
        <v>00308081</v>
      </c>
      <c r="B2484" t="s">
        <v>3154</v>
      </c>
      <c r="C2484" t="s">
        <v>96</v>
      </c>
      <c r="D2484" t="s">
        <v>21</v>
      </c>
      <c r="E2484" t="s">
        <v>26</v>
      </c>
      <c r="F2484" t="s">
        <v>17</v>
      </c>
      <c r="G2484" t="str">
        <f>"03"</f>
        <v>03</v>
      </c>
      <c r="H2484" t="str">
        <f>"3  "</f>
        <v xml:space="preserve">3  </v>
      </c>
      <c r="I2484" t="str">
        <f>"2019/07/19"</f>
        <v>2019/07/19</v>
      </c>
      <c r="J2484" t="str">
        <f>"110"</f>
        <v>110</v>
      </c>
      <c r="K2484" t="str">
        <f>"20261031"</f>
        <v>20261031</v>
      </c>
      <c r="L2484" t="s">
        <v>18</v>
      </c>
      <c r="M2484" t="str">
        <f>"20190711"</f>
        <v>20190711</v>
      </c>
    </row>
    <row r="2485" spans="1:13" x14ac:dyDescent="0.25">
      <c r="A2485" t="str">
        <f>"00468265"</f>
        <v>00468265</v>
      </c>
      <c r="B2485" t="s">
        <v>3160</v>
      </c>
      <c r="C2485" t="s">
        <v>3161</v>
      </c>
      <c r="D2485" t="s">
        <v>80</v>
      </c>
      <c r="E2485" t="s">
        <v>16</v>
      </c>
      <c r="F2485" t="s">
        <v>17</v>
      </c>
      <c r="G2485" t="str">
        <f>"03"</f>
        <v>03</v>
      </c>
      <c r="H2485" t="str">
        <f>"3  "</f>
        <v xml:space="preserve">3  </v>
      </c>
      <c r="I2485" t="str">
        <f>"2013/09/19"</f>
        <v>2013/09/19</v>
      </c>
      <c r="J2485" t="str">
        <f>"110"</f>
        <v>110</v>
      </c>
      <c r="K2485" t="str">
        <f>"20210718"</f>
        <v>20210718</v>
      </c>
      <c r="L2485" t="s">
        <v>18</v>
      </c>
      <c r="M2485" t="str">
        <f>"20130419"</f>
        <v>20130419</v>
      </c>
    </row>
    <row r="2486" spans="1:13" x14ac:dyDescent="0.25">
      <c r="A2486" t="str">
        <f>"00186521"</f>
        <v>00186521</v>
      </c>
      <c r="B2486" t="s">
        <v>3162</v>
      </c>
      <c r="C2486" t="s">
        <v>3163</v>
      </c>
      <c r="D2486" t="s">
        <v>45</v>
      </c>
      <c r="E2486" t="s">
        <v>26</v>
      </c>
      <c r="F2486" t="s">
        <v>17</v>
      </c>
      <c r="G2486" t="str">
        <f>"03"</f>
        <v>03</v>
      </c>
      <c r="H2486" t="str">
        <f>"3  "</f>
        <v xml:space="preserve">3  </v>
      </c>
      <c r="I2486" t="str">
        <f>"2018/02/20"</f>
        <v>2018/02/20</v>
      </c>
      <c r="J2486" t="str">
        <f>"110"</f>
        <v>110</v>
      </c>
      <c r="K2486" t="str">
        <f>"20210314"</f>
        <v>20210314</v>
      </c>
      <c r="L2486" t="s">
        <v>18</v>
      </c>
      <c r="M2486" t="str">
        <f>"20171119"</f>
        <v>20171119</v>
      </c>
    </row>
    <row r="2487" spans="1:13" x14ac:dyDescent="0.25">
      <c r="A2487" t="str">
        <f>"00879061"</f>
        <v>00879061</v>
      </c>
      <c r="B2487" t="s">
        <v>3165</v>
      </c>
      <c r="C2487" t="s">
        <v>1466</v>
      </c>
      <c r="D2487" t="s">
        <v>40</v>
      </c>
      <c r="E2487" t="s">
        <v>16</v>
      </c>
      <c r="F2487" t="s">
        <v>17</v>
      </c>
      <c r="G2487" t="str">
        <f>"03"</f>
        <v>03</v>
      </c>
      <c r="H2487" t="str">
        <f>"3  "</f>
        <v xml:space="preserve">3  </v>
      </c>
      <c r="I2487" t="str">
        <f>"2019/04/15"</f>
        <v>2019/04/15</v>
      </c>
      <c r="J2487" t="str">
        <f>"110"</f>
        <v>110</v>
      </c>
      <c r="K2487" t="str">
        <f>"20220821"</f>
        <v>20220821</v>
      </c>
      <c r="L2487" t="s">
        <v>18</v>
      </c>
      <c r="M2487" t="str">
        <f>"20190216"</f>
        <v>20190216</v>
      </c>
    </row>
    <row r="2488" spans="1:13" x14ac:dyDescent="0.25">
      <c r="A2488" t="str">
        <f>"00715979"</f>
        <v>00715979</v>
      </c>
      <c r="B2488" t="s">
        <v>3166</v>
      </c>
      <c r="C2488" t="s">
        <v>60</v>
      </c>
      <c r="D2488" t="s">
        <v>15</v>
      </c>
      <c r="E2488" t="s">
        <v>16</v>
      </c>
      <c r="F2488" t="s">
        <v>17</v>
      </c>
      <c r="G2488" t="str">
        <f>"03"</f>
        <v>03</v>
      </c>
      <c r="H2488" t="str">
        <f>"3  "</f>
        <v xml:space="preserve">3  </v>
      </c>
      <c r="I2488" t="str">
        <f>"2019/11/26"</f>
        <v>2019/11/26</v>
      </c>
      <c r="J2488" t="str">
        <f>"120"</f>
        <v>120</v>
      </c>
      <c r="K2488" t="str">
        <f>"20230602"</f>
        <v>20230602</v>
      </c>
      <c r="L2488" t="s">
        <v>18</v>
      </c>
      <c r="M2488" t="str">
        <f>"20191122"</f>
        <v>20191122</v>
      </c>
    </row>
    <row r="2489" spans="1:13" x14ac:dyDescent="0.25">
      <c r="A2489" t="str">
        <f>"00529391"</f>
        <v>00529391</v>
      </c>
      <c r="B2489" t="s">
        <v>3167</v>
      </c>
      <c r="C2489" t="s">
        <v>3168</v>
      </c>
      <c r="D2489" t="s">
        <v>40</v>
      </c>
      <c r="E2489" t="s">
        <v>26</v>
      </c>
      <c r="F2489" t="s">
        <v>17</v>
      </c>
      <c r="G2489" t="str">
        <f>"03"</f>
        <v>03</v>
      </c>
      <c r="H2489" t="str">
        <f>"7  "</f>
        <v xml:space="preserve">7  </v>
      </c>
      <c r="I2489" t="str">
        <f>"2020/01/10"</f>
        <v>2020/01/10</v>
      </c>
      <c r="J2489" t="str">
        <f>"110"</f>
        <v>110</v>
      </c>
      <c r="K2489" t="s">
        <v>18</v>
      </c>
      <c r="L2489" t="s">
        <v>18</v>
      </c>
      <c r="M2489" t="str">
        <f>"20180513"</f>
        <v>20180513</v>
      </c>
    </row>
    <row r="2490" spans="1:13" x14ac:dyDescent="0.25">
      <c r="A2490" t="str">
        <f>"00274517"</f>
        <v>00274517</v>
      </c>
      <c r="B2490" t="s">
        <v>3176</v>
      </c>
      <c r="C2490" t="s">
        <v>3177</v>
      </c>
      <c r="D2490" t="s">
        <v>25</v>
      </c>
      <c r="E2490" t="s">
        <v>26</v>
      </c>
      <c r="F2490" t="s">
        <v>17</v>
      </c>
      <c r="G2490" t="str">
        <f>"03"</f>
        <v>03</v>
      </c>
      <c r="H2490" t="str">
        <f>"0  "</f>
        <v xml:space="preserve">0  </v>
      </c>
      <c r="I2490" t="str">
        <f>"2020/01/27"</f>
        <v>2020/01/27</v>
      </c>
      <c r="J2490" t="str">
        <f>"410"</f>
        <v>410</v>
      </c>
      <c r="K2490" t="s">
        <v>18</v>
      </c>
      <c r="L2490" t="s">
        <v>18</v>
      </c>
      <c r="M2490" t="s">
        <v>18</v>
      </c>
    </row>
    <row r="2491" spans="1:13" x14ac:dyDescent="0.25">
      <c r="A2491" t="str">
        <f>"00479933"</f>
        <v>00479933</v>
      </c>
      <c r="B2491" t="s">
        <v>3176</v>
      </c>
      <c r="C2491" t="s">
        <v>3178</v>
      </c>
      <c r="D2491" t="s">
        <v>47</v>
      </c>
      <c r="E2491" t="s">
        <v>26</v>
      </c>
      <c r="F2491" t="s">
        <v>17</v>
      </c>
      <c r="G2491" t="str">
        <f>"03"</f>
        <v>03</v>
      </c>
      <c r="H2491" t="str">
        <f>"0  "</f>
        <v xml:space="preserve">0  </v>
      </c>
      <c r="I2491" t="str">
        <f>"2020/03/01"</f>
        <v>2020/03/01</v>
      </c>
      <c r="J2491" t="str">
        <f>"410"</f>
        <v>410</v>
      </c>
      <c r="K2491" t="s">
        <v>18</v>
      </c>
      <c r="L2491" t="s">
        <v>18</v>
      </c>
      <c r="M2491" t="s">
        <v>18</v>
      </c>
    </row>
    <row r="2492" spans="1:13" x14ac:dyDescent="0.25">
      <c r="A2492" t="str">
        <f>"00203002"</f>
        <v>00203002</v>
      </c>
      <c r="B2492" t="s">
        <v>3191</v>
      </c>
      <c r="C2492" t="s">
        <v>213</v>
      </c>
      <c r="D2492" t="s">
        <v>25</v>
      </c>
      <c r="E2492" t="s">
        <v>26</v>
      </c>
      <c r="F2492" t="s">
        <v>17</v>
      </c>
      <c r="G2492" t="str">
        <f>"03"</f>
        <v>03</v>
      </c>
      <c r="H2492" t="str">
        <f>"1  "</f>
        <v xml:space="preserve">1  </v>
      </c>
      <c r="I2492" t="str">
        <f>"2020/08/25"</f>
        <v>2020/08/25</v>
      </c>
      <c r="J2492" t="str">
        <f>"120"</f>
        <v>120</v>
      </c>
      <c r="K2492" t="str">
        <f>"20201231"</f>
        <v>20201231</v>
      </c>
      <c r="L2492" t="s">
        <v>18</v>
      </c>
      <c r="M2492" t="str">
        <f>"20200811"</f>
        <v>20200811</v>
      </c>
    </row>
    <row r="2493" spans="1:13" x14ac:dyDescent="0.25">
      <c r="A2493" t="str">
        <f>"00689348"</f>
        <v>00689348</v>
      </c>
      <c r="B2493" t="s">
        <v>3191</v>
      </c>
      <c r="C2493" t="s">
        <v>1121</v>
      </c>
      <c r="D2493" t="s">
        <v>51</v>
      </c>
      <c r="E2493" t="s">
        <v>26</v>
      </c>
      <c r="F2493" t="s">
        <v>17</v>
      </c>
      <c r="G2493" t="str">
        <f>"03"</f>
        <v>03</v>
      </c>
      <c r="H2493" t="str">
        <f>"1  "</f>
        <v xml:space="preserve">1  </v>
      </c>
      <c r="I2493" t="str">
        <f>"2019/11/26"</f>
        <v>2019/11/26</v>
      </c>
      <c r="J2493" t="str">
        <f>"120"</f>
        <v>120</v>
      </c>
      <c r="K2493" t="str">
        <f>"20201112"</f>
        <v>20201112</v>
      </c>
      <c r="L2493" t="s">
        <v>18</v>
      </c>
      <c r="M2493" t="str">
        <f>"20191113"</f>
        <v>20191113</v>
      </c>
    </row>
    <row r="2494" spans="1:13" x14ac:dyDescent="0.25">
      <c r="A2494" t="str">
        <f>"00382847"</f>
        <v>00382847</v>
      </c>
      <c r="B2494" t="s">
        <v>3201</v>
      </c>
      <c r="C2494" t="s">
        <v>1090</v>
      </c>
      <c r="D2494" t="s">
        <v>25</v>
      </c>
      <c r="E2494" t="s">
        <v>16</v>
      </c>
      <c r="F2494" t="s">
        <v>17</v>
      </c>
      <c r="G2494" t="str">
        <f>"03"</f>
        <v>03</v>
      </c>
      <c r="H2494" t="str">
        <f>"3  "</f>
        <v xml:space="preserve">3  </v>
      </c>
      <c r="I2494" t="str">
        <f>"2020/08/26"</f>
        <v>2020/08/26</v>
      </c>
      <c r="J2494" t="str">
        <f>"502"</f>
        <v>502</v>
      </c>
      <c r="K2494" t="str">
        <f>"20210121"</f>
        <v>20210121</v>
      </c>
      <c r="L2494" t="str">
        <f>"20190708"</f>
        <v>20190708</v>
      </c>
      <c r="M2494" t="str">
        <f>"20190112"</f>
        <v>20190112</v>
      </c>
    </row>
    <row r="2495" spans="1:13" x14ac:dyDescent="0.25">
      <c r="A2495" t="str">
        <f>"00367124"</f>
        <v>00367124</v>
      </c>
      <c r="B2495" t="s">
        <v>3205</v>
      </c>
      <c r="C2495" t="s">
        <v>96</v>
      </c>
      <c r="D2495" t="s">
        <v>15</v>
      </c>
      <c r="E2495" t="s">
        <v>26</v>
      </c>
      <c r="F2495" t="s">
        <v>17</v>
      </c>
      <c r="G2495" t="str">
        <f>"03"</f>
        <v>03</v>
      </c>
      <c r="H2495" t="str">
        <f>"3  "</f>
        <v xml:space="preserve">3  </v>
      </c>
      <c r="I2495" t="str">
        <f>"2019/06/17"</f>
        <v>2019/06/17</v>
      </c>
      <c r="J2495" t="str">
        <f>"110"</f>
        <v>110</v>
      </c>
      <c r="K2495" t="str">
        <f>"20260802"</f>
        <v>20260802</v>
      </c>
      <c r="L2495" t="s">
        <v>18</v>
      </c>
      <c r="M2495" t="str">
        <f>"20190617"</f>
        <v>20190617</v>
      </c>
    </row>
    <row r="2496" spans="1:13" x14ac:dyDescent="0.25">
      <c r="A2496" t="str">
        <f>"00447190"</f>
        <v>00447190</v>
      </c>
      <c r="B2496" t="s">
        <v>3216</v>
      </c>
      <c r="C2496" t="s">
        <v>3217</v>
      </c>
      <c r="D2496" t="s">
        <v>25</v>
      </c>
      <c r="E2496" t="s">
        <v>26</v>
      </c>
      <c r="F2496" t="s">
        <v>17</v>
      </c>
      <c r="G2496" t="str">
        <f>"03"</f>
        <v>03</v>
      </c>
      <c r="H2496" t="str">
        <f>"3  "</f>
        <v xml:space="preserve">3  </v>
      </c>
      <c r="I2496" t="str">
        <f>"2011/06/08"</f>
        <v>2011/06/08</v>
      </c>
      <c r="J2496" t="str">
        <f>"510"</f>
        <v>510</v>
      </c>
      <c r="K2496" t="str">
        <f>"20400229"</f>
        <v>20400229</v>
      </c>
      <c r="L2496" t="s">
        <v>18</v>
      </c>
      <c r="M2496" t="str">
        <f>"20090514"</f>
        <v>20090514</v>
      </c>
    </row>
    <row r="2497" spans="1:13" x14ac:dyDescent="0.25">
      <c r="A2497" t="str">
        <f>"00854769"</f>
        <v>00854769</v>
      </c>
      <c r="B2497" t="s">
        <v>3223</v>
      </c>
      <c r="C2497" t="s">
        <v>3224</v>
      </c>
      <c r="D2497" t="s">
        <v>25</v>
      </c>
      <c r="E2497" t="s">
        <v>16</v>
      </c>
      <c r="F2497" t="s">
        <v>17</v>
      </c>
      <c r="G2497" t="str">
        <f>"03"</f>
        <v>03</v>
      </c>
      <c r="H2497" t="str">
        <f>"3  "</f>
        <v xml:space="preserve">3  </v>
      </c>
      <c r="I2497" t="str">
        <f>"2020/09/10"</f>
        <v>2020/09/10</v>
      </c>
      <c r="J2497" t="str">
        <f>"502"</f>
        <v>502</v>
      </c>
      <c r="K2497" t="str">
        <f>"20360316"</f>
        <v>20360316</v>
      </c>
      <c r="L2497" t="s">
        <v>18</v>
      </c>
      <c r="M2497" t="str">
        <f>"20180418"</f>
        <v>20180418</v>
      </c>
    </row>
    <row r="2498" spans="1:13" x14ac:dyDescent="0.25">
      <c r="A2498" t="str">
        <f>"00399293"</f>
        <v>00399293</v>
      </c>
      <c r="B2498" t="s">
        <v>3227</v>
      </c>
      <c r="C2498" t="s">
        <v>180</v>
      </c>
      <c r="D2498" t="s">
        <v>15</v>
      </c>
      <c r="E2498" t="s">
        <v>16</v>
      </c>
      <c r="F2498" t="s">
        <v>17</v>
      </c>
      <c r="G2498" t="str">
        <f>"03"</f>
        <v>03</v>
      </c>
      <c r="H2498" t="str">
        <f>"3  "</f>
        <v xml:space="preserve">3  </v>
      </c>
      <c r="I2498" t="str">
        <f>"2020/06/25"</f>
        <v>2020/06/25</v>
      </c>
      <c r="J2498" t="str">
        <f>"512"</f>
        <v>512</v>
      </c>
      <c r="K2498" t="str">
        <f>"20240919"</f>
        <v>20240919</v>
      </c>
      <c r="L2498" t="s">
        <v>18</v>
      </c>
      <c r="M2498" t="str">
        <f>"20200623"</f>
        <v>20200623</v>
      </c>
    </row>
    <row r="2499" spans="1:13" x14ac:dyDescent="0.25">
      <c r="A2499" t="str">
        <f>"00769981"</f>
        <v>00769981</v>
      </c>
      <c r="B2499" t="s">
        <v>3235</v>
      </c>
      <c r="C2499" t="s">
        <v>325</v>
      </c>
      <c r="D2499" t="s">
        <v>97</v>
      </c>
      <c r="E2499" t="s">
        <v>16</v>
      </c>
      <c r="F2499" t="s">
        <v>17</v>
      </c>
      <c r="G2499" t="str">
        <f>"03"</f>
        <v>03</v>
      </c>
      <c r="H2499" t="str">
        <f>"3  "</f>
        <v xml:space="preserve">3  </v>
      </c>
      <c r="I2499" t="str">
        <f>"2018/09/21"</f>
        <v>2018/09/21</v>
      </c>
      <c r="J2499" t="str">
        <f>"110"</f>
        <v>110</v>
      </c>
      <c r="K2499" t="str">
        <f>"20361011"</f>
        <v>20361011</v>
      </c>
      <c r="L2499" t="s">
        <v>18</v>
      </c>
      <c r="M2499" t="str">
        <f>"20171216"</f>
        <v>20171216</v>
      </c>
    </row>
    <row r="2500" spans="1:13" x14ac:dyDescent="0.25">
      <c r="A2500" t="str">
        <f>"00515672"</f>
        <v>00515672</v>
      </c>
      <c r="B2500" t="s">
        <v>3242</v>
      </c>
      <c r="C2500" t="s">
        <v>3243</v>
      </c>
      <c r="D2500" t="s">
        <v>53</v>
      </c>
      <c r="E2500" t="s">
        <v>26</v>
      </c>
      <c r="F2500" t="s">
        <v>17</v>
      </c>
      <c r="G2500" t="str">
        <f>"03"</f>
        <v>03</v>
      </c>
      <c r="H2500" t="str">
        <f>"1  "</f>
        <v xml:space="preserve">1  </v>
      </c>
      <c r="I2500" t="str">
        <f>"2020/08/27"</f>
        <v>2020/08/27</v>
      </c>
      <c r="J2500" t="str">
        <f>"120"</f>
        <v>120</v>
      </c>
      <c r="K2500" t="str">
        <f>"20201106"</f>
        <v>20201106</v>
      </c>
      <c r="L2500" t="s">
        <v>18</v>
      </c>
      <c r="M2500" t="str">
        <f>"20200519"</f>
        <v>20200519</v>
      </c>
    </row>
    <row r="2501" spans="1:13" x14ac:dyDescent="0.25">
      <c r="A2501" t="str">
        <f>"00767024"</f>
        <v>00767024</v>
      </c>
      <c r="B2501" t="s">
        <v>3242</v>
      </c>
      <c r="C2501" t="s">
        <v>3246</v>
      </c>
      <c r="D2501" t="s">
        <v>25</v>
      </c>
      <c r="E2501" t="s">
        <v>26</v>
      </c>
      <c r="F2501" t="s">
        <v>17</v>
      </c>
      <c r="G2501" t="str">
        <f>"03"</f>
        <v>03</v>
      </c>
      <c r="H2501" t="str">
        <f>"3  "</f>
        <v xml:space="preserve">3  </v>
      </c>
      <c r="I2501" t="str">
        <f>"2019/04/05"</f>
        <v>2019/04/05</v>
      </c>
      <c r="J2501" t="str">
        <f>"110"</f>
        <v>110</v>
      </c>
      <c r="K2501" t="str">
        <f>"20230704"</f>
        <v>20230704</v>
      </c>
      <c r="L2501" t="s">
        <v>18</v>
      </c>
      <c r="M2501" t="str">
        <f>"20171209"</f>
        <v>20171209</v>
      </c>
    </row>
    <row r="2502" spans="1:13" x14ac:dyDescent="0.25">
      <c r="A2502" t="str">
        <f>"00289704"</f>
        <v>00289704</v>
      </c>
      <c r="B2502" t="s">
        <v>3250</v>
      </c>
      <c r="C2502" t="s">
        <v>60</v>
      </c>
      <c r="D2502" t="s">
        <v>61</v>
      </c>
      <c r="E2502" t="s">
        <v>16</v>
      </c>
      <c r="F2502" t="s">
        <v>17</v>
      </c>
      <c r="G2502" t="str">
        <f>"03"</f>
        <v>03</v>
      </c>
      <c r="H2502" t="str">
        <f>"0  "</f>
        <v xml:space="preserve">0  </v>
      </c>
      <c r="I2502" t="str">
        <f>"2020/08/21"</f>
        <v>2020/08/21</v>
      </c>
      <c r="J2502" t="str">
        <f>"410"</f>
        <v>410</v>
      </c>
      <c r="K2502" t="s">
        <v>18</v>
      </c>
      <c r="L2502" t="s">
        <v>18</v>
      </c>
      <c r="M2502" t="s">
        <v>18</v>
      </c>
    </row>
    <row r="2503" spans="1:13" x14ac:dyDescent="0.25">
      <c r="A2503" t="str">
        <f>"00275478"</f>
        <v>00275478</v>
      </c>
      <c r="B2503" t="s">
        <v>3254</v>
      </c>
      <c r="C2503" t="s">
        <v>22</v>
      </c>
      <c r="D2503" t="s">
        <v>91</v>
      </c>
      <c r="E2503" t="s">
        <v>16</v>
      </c>
      <c r="F2503" t="s">
        <v>17</v>
      </c>
      <c r="G2503" t="str">
        <f>"03"</f>
        <v>03</v>
      </c>
      <c r="H2503" t="str">
        <f>"7  "</f>
        <v xml:space="preserve">7  </v>
      </c>
      <c r="I2503" t="str">
        <f>"2010/12/21"</f>
        <v>2010/12/21</v>
      </c>
      <c r="J2503" t="str">
        <f>"502"</f>
        <v>502</v>
      </c>
      <c r="K2503" t="s">
        <v>18</v>
      </c>
      <c r="L2503" t="s">
        <v>18</v>
      </c>
      <c r="M2503" t="str">
        <f>"19990103"</f>
        <v>19990103</v>
      </c>
    </row>
    <row r="2504" spans="1:13" x14ac:dyDescent="0.25">
      <c r="A2504" t="str">
        <f>"00723332"</f>
        <v>00723332</v>
      </c>
      <c r="B2504" t="s">
        <v>3255</v>
      </c>
      <c r="C2504" t="s">
        <v>3256</v>
      </c>
      <c r="D2504" t="s">
        <v>51</v>
      </c>
      <c r="E2504" t="s">
        <v>26</v>
      </c>
      <c r="F2504" t="s">
        <v>17</v>
      </c>
      <c r="G2504" t="str">
        <f>"03"</f>
        <v>03</v>
      </c>
      <c r="H2504" t="str">
        <f>"0  "</f>
        <v xml:space="preserve">0  </v>
      </c>
      <c r="I2504" t="str">
        <f>"2020/07/01"</f>
        <v>2020/07/01</v>
      </c>
      <c r="J2504" t="str">
        <f>"410"</f>
        <v>410</v>
      </c>
      <c r="K2504" t="s">
        <v>18</v>
      </c>
      <c r="L2504" t="s">
        <v>18</v>
      </c>
      <c r="M2504" t="s">
        <v>18</v>
      </c>
    </row>
    <row r="2505" spans="1:13" x14ac:dyDescent="0.25">
      <c r="A2505" t="str">
        <f>"00418551"</f>
        <v>00418551</v>
      </c>
      <c r="B2505" t="s">
        <v>3264</v>
      </c>
      <c r="C2505" t="s">
        <v>881</v>
      </c>
      <c r="D2505" t="s">
        <v>40</v>
      </c>
      <c r="E2505" t="s">
        <v>16</v>
      </c>
      <c r="F2505" t="s">
        <v>17</v>
      </c>
      <c r="G2505" t="str">
        <f>"03"</f>
        <v>03</v>
      </c>
      <c r="H2505" t="str">
        <f>"3  "</f>
        <v xml:space="preserve">3  </v>
      </c>
      <c r="I2505" t="str">
        <f>"2020/01/21"</f>
        <v>2020/01/21</v>
      </c>
      <c r="J2505" t="str">
        <f>"110"</f>
        <v>110</v>
      </c>
      <c r="K2505" t="str">
        <f>"20230616"</f>
        <v>20230616</v>
      </c>
      <c r="L2505" t="s">
        <v>18</v>
      </c>
      <c r="M2505" t="str">
        <f>"20190603"</f>
        <v>20190603</v>
      </c>
    </row>
    <row r="2506" spans="1:13" x14ac:dyDescent="0.25">
      <c r="A2506" t="str">
        <f>"00824660"</f>
        <v>00824660</v>
      </c>
      <c r="B2506" t="s">
        <v>3275</v>
      </c>
      <c r="C2506" t="s">
        <v>3276</v>
      </c>
      <c r="D2506" t="s">
        <v>45</v>
      </c>
      <c r="E2506" t="s">
        <v>26</v>
      </c>
      <c r="F2506" t="s">
        <v>17</v>
      </c>
      <c r="G2506" t="str">
        <f>"03"</f>
        <v>03</v>
      </c>
      <c r="H2506" t="str">
        <f>"0  "</f>
        <v xml:space="preserve">0  </v>
      </c>
      <c r="I2506" t="str">
        <f>"2019/09/23"</f>
        <v>2019/09/23</v>
      </c>
      <c r="J2506" t="str">
        <f>"410"</f>
        <v>410</v>
      </c>
      <c r="K2506" t="s">
        <v>18</v>
      </c>
      <c r="L2506" t="s">
        <v>18</v>
      </c>
      <c r="M2506" t="s">
        <v>18</v>
      </c>
    </row>
    <row r="2507" spans="1:13" x14ac:dyDescent="0.25">
      <c r="A2507" t="str">
        <f>"00142522"</f>
        <v>00142522</v>
      </c>
      <c r="B2507" t="s">
        <v>3277</v>
      </c>
      <c r="C2507" t="s">
        <v>96</v>
      </c>
      <c r="D2507" t="s">
        <v>215</v>
      </c>
      <c r="E2507" t="s">
        <v>16</v>
      </c>
      <c r="F2507" t="s">
        <v>17</v>
      </c>
      <c r="G2507" t="str">
        <f>"03"</f>
        <v>03</v>
      </c>
      <c r="H2507" t="str">
        <f>"3  "</f>
        <v xml:space="preserve">3  </v>
      </c>
      <c r="I2507" t="str">
        <f>"2020/01/15"</f>
        <v>2020/01/15</v>
      </c>
      <c r="J2507" t="str">
        <f>"110"</f>
        <v>110</v>
      </c>
      <c r="K2507" t="str">
        <f>"20260510"</f>
        <v>20260510</v>
      </c>
      <c r="L2507" t="s">
        <v>18</v>
      </c>
      <c r="M2507" t="str">
        <f>"20190213"</f>
        <v>20190213</v>
      </c>
    </row>
    <row r="2508" spans="1:13" x14ac:dyDescent="0.25">
      <c r="A2508" t="str">
        <f>"00263211"</f>
        <v>00263211</v>
      </c>
      <c r="B2508" t="s">
        <v>3277</v>
      </c>
      <c r="C2508" t="s">
        <v>22</v>
      </c>
      <c r="D2508" t="s">
        <v>26</v>
      </c>
      <c r="E2508" t="s">
        <v>16</v>
      </c>
      <c r="F2508" t="s">
        <v>17</v>
      </c>
      <c r="G2508" t="str">
        <f>"03"</f>
        <v>03</v>
      </c>
      <c r="H2508" t="str">
        <f>"3  "</f>
        <v xml:space="preserve">3  </v>
      </c>
      <c r="I2508" t="str">
        <f>"2020/08/26"</f>
        <v>2020/08/26</v>
      </c>
      <c r="J2508" t="str">
        <f>"502"</f>
        <v>502</v>
      </c>
      <c r="K2508" t="str">
        <f>"20220714"</f>
        <v>20220714</v>
      </c>
      <c r="L2508" t="s">
        <v>18</v>
      </c>
      <c r="M2508" t="str">
        <f>"19950505"</f>
        <v>19950505</v>
      </c>
    </row>
    <row r="2509" spans="1:13" x14ac:dyDescent="0.25">
      <c r="A2509" t="str">
        <f>"00165946"</f>
        <v>00165946</v>
      </c>
      <c r="B2509" t="s">
        <v>3285</v>
      </c>
      <c r="C2509" t="s">
        <v>3286</v>
      </c>
      <c r="D2509" t="s">
        <v>61</v>
      </c>
      <c r="E2509" t="s">
        <v>26</v>
      </c>
      <c r="F2509" t="s">
        <v>17</v>
      </c>
      <c r="G2509" t="str">
        <f>"03"</f>
        <v>03</v>
      </c>
      <c r="H2509" t="str">
        <f>"3  "</f>
        <v xml:space="preserve">3  </v>
      </c>
      <c r="I2509" t="str">
        <f>"2020/07/24"</f>
        <v>2020/07/24</v>
      </c>
      <c r="J2509" t="str">
        <f>"502"</f>
        <v>502</v>
      </c>
      <c r="K2509" t="str">
        <f>"20251008"</f>
        <v>20251008</v>
      </c>
      <c r="L2509" t="s">
        <v>18</v>
      </c>
      <c r="M2509" t="str">
        <f>"20180727"</f>
        <v>20180727</v>
      </c>
    </row>
    <row r="2510" spans="1:13" x14ac:dyDescent="0.25">
      <c r="A2510" t="str">
        <f>"00876806"</f>
        <v>00876806</v>
      </c>
      <c r="B2510" t="s">
        <v>3315</v>
      </c>
      <c r="C2510" t="s">
        <v>122</v>
      </c>
      <c r="D2510" t="s">
        <v>25</v>
      </c>
      <c r="E2510" t="s">
        <v>16</v>
      </c>
      <c r="F2510" t="s">
        <v>17</v>
      </c>
      <c r="G2510" t="str">
        <f>"03"</f>
        <v>03</v>
      </c>
      <c r="H2510" t="str">
        <f>"3  "</f>
        <v xml:space="preserve">3  </v>
      </c>
      <c r="I2510" t="str">
        <f>"2018/03/26"</f>
        <v>2018/03/26</v>
      </c>
      <c r="J2510" t="str">
        <f>"110"</f>
        <v>110</v>
      </c>
      <c r="K2510" t="str">
        <f>"20240213"</f>
        <v>20240213</v>
      </c>
      <c r="L2510" t="s">
        <v>18</v>
      </c>
      <c r="M2510" t="str">
        <f>"20170213"</f>
        <v>20170213</v>
      </c>
    </row>
    <row r="2511" spans="1:13" x14ac:dyDescent="0.25">
      <c r="A2511" t="str">
        <f>"00476364"</f>
        <v>00476364</v>
      </c>
      <c r="B2511" t="s">
        <v>3316</v>
      </c>
      <c r="C2511" t="s">
        <v>188</v>
      </c>
      <c r="D2511" t="s">
        <v>25</v>
      </c>
      <c r="E2511" t="s">
        <v>16</v>
      </c>
      <c r="F2511" t="s">
        <v>17</v>
      </c>
      <c r="G2511" t="str">
        <f>"03"</f>
        <v>03</v>
      </c>
      <c r="H2511" t="str">
        <f>"3  "</f>
        <v xml:space="preserve">3  </v>
      </c>
      <c r="I2511" t="str">
        <f>"2020/02/14"</f>
        <v>2020/02/14</v>
      </c>
      <c r="J2511" t="str">
        <f>"110"</f>
        <v>110</v>
      </c>
      <c r="K2511" t="str">
        <f>"20220802"</f>
        <v>20220802</v>
      </c>
      <c r="L2511" t="s">
        <v>18</v>
      </c>
      <c r="M2511" t="str">
        <f>"20191107"</f>
        <v>20191107</v>
      </c>
    </row>
    <row r="2512" spans="1:13" x14ac:dyDescent="0.25">
      <c r="A2512" t="str">
        <f>"00264298"</f>
        <v>00264298</v>
      </c>
      <c r="B2512" t="s">
        <v>3320</v>
      </c>
      <c r="C2512" t="s">
        <v>248</v>
      </c>
      <c r="D2512" t="s">
        <v>61</v>
      </c>
      <c r="E2512" t="s">
        <v>16</v>
      </c>
      <c r="F2512" t="s">
        <v>17</v>
      </c>
      <c r="G2512" t="str">
        <f>"03"</f>
        <v>03</v>
      </c>
      <c r="H2512" t="str">
        <f>"3  "</f>
        <v xml:space="preserve">3  </v>
      </c>
      <c r="I2512" t="str">
        <f>"2019/11/14"</f>
        <v>2019/11/14</v>
      </c>
      <c r="J2512" t="str">
        <f>"510"</f>
        <v>510</v>
      </c>
      <c r="K2512" t="str">
        <f>"20300219"</f>
        <v>20300219</v>
      </c>
      <c r="L2512" t="s">
        <v>18</v>
      </c>
      <c r="M2512" t="str">
        <f>"20110315"</f>
        <v>20110315</v>
      </c>
    </row>
    <row r="2513" spans="1:13" x14ac:dyDescent="0.25">
      <c r="A2513" t="str">
        <f>"00461429"</f>
        <v>00461429</v>
      </c>
      <c r="B2513" t="s">
        <v>3321</v>
      </c>
      <c r="C2513" t="s">
        <v>244</v>
      </c>
      <c r="D2513" t="s">
        <v>40</v>
      </c>
      <c r="E2513" t="s">
        <v>26</v>
      </c>
      <c r="F2513" t="s">
        <v>17</v>
      </c>
      <c r="G2513" t="str">
        <f>"03"</f>
        <v>03</v>
      </c>
      <c r="H2513" t="str">
        <f>"3  "</f>
        <v xml:space="preserve">3  </v>
      </c>
      <c r="I2513" t="str">
        <f>"2019/08/19"</f>
        <v>2019/08/19</v>
      </c>
      <c r="J2513" t="str">
        <f>"110"</f>
        <v>110</v>
      </c>
      <c r="K2513" t="str">
        <f>"20220131"</f>
        <v>20220131</v>
      </c>
      <c r="L2513" t="s">
        <v>18</v>
      </c>
      <c r="M2513" t="str">
        <f>"20190629"</f>
        <v>20190629</v>
      </c>
    </row>
    <row r="2514" spans="1:13" x14ac:dyDescent="0.25">
      <c r="A2514" t="str">
        <f>"00508480"</f>
        <v>00508480</v>
      </c>
      <c r="B2514" t="s">
        <v>3321</v>
      </c>
      <c r="C2514" t="s">
        <v>135</v>
      </c>
      <c r="D2514" t="s">
        <v>21</v>
      </c>
      <c r="E2514" t="s">
        <v>26</v>
      </c>
      <c r="F2514" t="s">
        <v>17</v>
      </c>
      <c r="G2514" t="str">
        <f>"03"</f>
        <v>03</v>
      </c>
      <c r="H2514" t="str">
        <f>"3  "</f>
        <v xml:space="preserve">3  </v>
      </c>
      <c r="I2514" t="str">
        <f>"2018/03/15"</f>
        <v>2018/03/15</v>
      </c>
      <c r="J2514" t="str">
        <f>"110"</f>
        <v>110</v>
      </c>
      <c r="K2514" t="str">
        <f>"20231113"</f>
        <v>20231113</v>
      </c>
      <c r="L2514" t="s">
        <v>18</v>
      </c>
      <c r="M2514" t="str">
        <f>"20170823"</f>
        <v>20170823</v>
      </c>
    </row>
    <row r="2515" spans="1:13" x14ac:dyDescent="0.25">
      <c r="A2515" t="str">
        <f>"00373949"</f>
        <v>00373949</v>
      </c>
      <c r="B2515" t="s">
        <v>3321</v>
      </c>
      <c r="C2515" t="s">
        <v>288</v>
      </c>
      <c r="D2515" t="s">
        <v>456</v>
      </c>
      <c r="E2515" t="s">
        <v>26</v>
      </c>
      <c r="F2515" t="s">
        <v>17</v>
      </c>
      <c r="G2515" t="str">
        <f>"03"</f>
        <v>03</v>
      </c>
      <c r="H2515" t="str">
        <f>"0  "</f>
        <v xml:space="preserve">0  </v>
      </c>
      <c r="I2515" t="str">
        <f>"2019/10/18"</f>
        <v>2019/10/18</v>
      </c>
      <c r="J2515" t="str">
        <f>"410"</f>
        <v>410</v>
      </c>
      <c r="K2515" t="s">
        <v>18</v>
      </c>
      <c r="L2515" t="s">
        <v>18</v>
      </c>
      <c r="M2515" t="s">
        <v>18</v>
      </c>
    </row>
    <row r="2516" spans="1:13" x14ac:dyDescent="0.25">
      <c r="A2516" t="str">
        <f>"00373948"</f>
        <v>00373948</v>
      </c>
      <c r="B2516" t="s">
        <v>3321</v>
      </c>
      <c r="C2516" t="s">
        <v>3004</v>
      </c>
      <c r="D2516" t="s">
        <v>25</v>
      </c>
      <c r="E2516" t="s">
        <v>26</v>
      </c>
      <c r="F2516" t="s">
        <v>17</v>
      </c>
      <c r="G2516" t="str">
        <f>"03"</f>
        <v>03</v>
      </c>
      <c r="H2516" t="str">
        <f>"1  "</f>
        <v xml:space="preserve">1  </v>
      </c>
      <c r="I2516" t="str">
        <f>"2020/09/02"</f>
        <v>2020/09/02</v>
      </c>
      <c r="J2516" t="str">
        <f>"120"</f>
        <v>120</v>
      </c>
      <c r="K2516" t="str">
        <f>"20201123"</f>
        <v>20201123</v>
      </c>
      <c r="L2516" t="s">
        <v>18</v>
      </c>
      <c r="M2516" t="str">
        <f>"20200901"</f>
        <v>20200901</v>
      </c>
    </row>
    <row r="2517" spans="1:13" x14ac:dyDescent="0.25">
      <c r="A2517" t="str">
        <f>"00529779"</f>
        <v>00529779</v>
      </c>
      <c r="B2517" t="s">
        <v>3337</v>
      </c>
      <c r="C2517" t="s">
        <v>96</v>
      </c>
      <c r="D2517" t="s">
        <v>16</v>
      </c>
      <c r="E2517" t="s">
        <v>16</v>
      </c>
      <c r="F2517" t="s">
        <v>17</v>
      </c>
      <c r="G2517" t="str">
        <f>"03"</f>
        <v>03</v>
      </c>
      <c r="H2517" t="str">
        <f>"1  "</f>
        <v xml:space="preserve">1  </v>
      </c>
      <c r="I2517" t="str">
        <f>"2020/08/12"</f>
        <v>2020/08/12</v>
      </c>
      <c r="J2517" t="str">
        <f>"512"</f>
        <v>512</v>
      </c>
      <c r="K2517" t="str">
        <f>"20201012"</f>
        <v>20201012</v>
      </c>
      <c r="L2517" t="s">
        <v>18</v>
      </c>
      <c r="M2517" t="str">
        <f>"20200721"</f>
        <v>20200721</v>
      </c>
    </row>
    <row r="2518" spans="1:13" x14ac:dyDescent="0.25">
      <c r="A2518" t="str">
        <f>"00534473"</f>
        <v>00534473</v>
      </c>
      <c r="B2518" t="s">
        <v>3341</v>
      </c>
      <c r="C2518" t="s">
        <v>353</v>
      </c>
      <c r="D2518" t="s">
        <v>40</v>
      </c>
      <c r="E2518" t="s">
        <v>16</v>
      </c>
      <c r="F2518" t="s">
        <v>17</v>
      </c>
      <c r="G2518" t="str">
        <f>"03"</f>
        <v>03</v>
      </c>
      <c r="H2518" t="str">
        <f>"0  "</f>
        <v xml:space="preserve">0  </v>
      </c>
      <c r="I2518" t="str">
        <f>"2020/03/03"</f>
        <v>2020/03/03</v>
      </c>
      <c r="J2518" t="str">
        <f>"410"</f>
        <v>410</v>
      </c>
      <c r="K2518" t="s">
        <v>18</v>
      </c>
      <c r="L2518" t="s">
        <v>18</v>
      </c>
      <c r="M2518" t="s">
        <v>18</v>
      </c>
    </row>
    <row r="2519" spans="1:13" x14ac:dyDescent="0.25">
      <c r="A2519" t="str">
        <f>"00845613"</f>
        <v>00845613</v>
      </c>
      <c r="B2519" t="s">
        <v>3345</v>
      </c>
      <c r="C2519" t="s">
        <v>135</v>
      </c>
      <c r="D2519" t="s">
        <v>1212</v>
      </c>
      <c r="E2519" t="s">
        <v>16</v>
      </c>
      <c r="F2519" t="s">
        <v>17</v>
      </c>
      <c r="G2519" t="str">
        <f>"03"</f>
        <v>03</v>
      </c>
      <c r="H2519" t="str">
        <f>"0  "</f>
        <v xml:space="preserve">0  </v>
      </c>
      <c r="I2519" t="str">
        <f>"2020/03/02"</f>
        <v>2020/03/02</v>
      </c>
      <c r="J2519" t="str">
        <f>"410"</f>
        <v>410</v>
      </c>
      <c r="K2519" t="s">
        <v>18</v>
      </c>
      <c r="L2519" t="s">
        <v>18</v>
      </c>
      <c r="M2519" t="s">
        <v>18</v>
      </c>
    </row>
    <row r="2520" spans="1:13" x14ac:dyDescent="0.25">
      <c r="A2520" t="str">
        <f>"00767577"</f>
        <v>00767577</v>
      </c>
      <c r="B2520" t="s">
        <v>3345</v>
      </c>
      <c r="C2520" t="s">
        <v>213</v>
      </c>
      <c r="D2520" t="s">
        <v>182</v>
      </c>
      <c r="E2520" t="s">
        <v>26</v>
      </c>
      <c r="F2520" t="s">
        <v>17</v>
      </c>
      <c r="G2520" t="str">
        <f>"03"</f>
        <v>03</v>
      </c>
      <c r="H2520" t="str">
        <f>"3  "</f>
        <v xml:space="preserve">3  </v>
      </c>
      <c r="I2520" t="str">
        <f>"2020/04/02"</f>
        <v>2020/04/02</v>
      </c>
      <c r="J2520" t="str">
        <f>"120"</f>
        <v>120</v>
      </c>
      <c r="K2520" t="str">
        <f>"20250315"</f>
        <v>20250315</v>
      </c>
      <c r="L2520" t="s">
        <v>18</v>
      </c>
      <c r="M2520" t="str">
        <f>"20200318"</f>
        <v>20200318</v>
      </c>
    </row>
    <row r="2521" spans="1:13" x14ac:dyDescent="0.25">
      <c r="A2521" t="str">
        <f>"00281922"</f>
        <v>00281922</v>
      </c>
      <c r="B2521" t="s">
        <v>3345</v>
      </c>
      <c r="C2521" t="s">
        <v>176</v>
      </c>
      <c r="D2521" t="s">
        <v>15</v>
      </c>
      <c r="E2521" t="s">
        <v>16</v>
      </c>
      <c r="F2521" t="s">
        <v>17</v>
      </c>
      <c r="G2521" t="str">
        <f>"03"</f>
        <v>03</v>
      </c>
      <c r="H2521" t="str">
        <f>"3  "</f>
        <v xml:space="preserve">3  </v>
      </c>
      <c r="I2521" t="str">
        <f>"2019/01/04"</f>
        <v>2019/01/04</v>
      </c>
      <c r="J2521" t="str">
        <f>"502"</f>
        <v>502</v>
      </c>
      <c r="K2521" t="str">
        <f>"20311111"</f>
        <v>20311111</v>
      </c>
      <c r="L2521" t="s">
        <v>18</v>
      </c>
      <c r="M2521" t="str">
        <f>"20140521"</f>
        <v>20140521</v>
      </c>
    </row>
    <row r="2522" spans="1:13" x14ac:dyDescent="0.25">
      <c r="A2522" t="str">
        <f>"00196702"</f>
        <v>00196702</v>
      </c>
      <c r="B2522" t="s">
        <v>3345</v>
      </c>
      <c r="C2522" t="s">
        <v>1075</v>
      </c>
      <c r="D2522" t="s">
        <v>21</v>
      </c>
      <c r="E2522" t="s">
        <v>26</v>
      </c>
      <c r="F2522" t="s">
        <v>17</v>
      </c>
      <c r="G2522" t="str">
        <f>"03"</f>
        <v>03</v>
      </c>
      <c r="H2522" t="str">
        <f>"3  "</f>
        <v xml:space="preserve">3  </v>
      </c>
      <c r="I2522" t="str">
        <f>"2006/03/01"</f>
        <v>2006/03/01</v>
      </c>
      <c r="J2522" t="str">
        <f>"110"</f>
        <v>110</v>
      </c>
      <c r="K2522" t="str">
        <f>"20431006"</f>
        <v>20431006</v>
      </c>
      <c r="L2522" t="s">
        <v>18</v>
      </c>
      <c r="M2522" t="str">
        <f>"20040707"</f>
        <v>20040707</v>
      </c>
    </row>
    <row r="2523" spans="1:13" x14ac:dyDescent="0.25">
      <c r="A2523" t="str">
        <f>"00329704"</f>
        <v>00329704</v>
      </c>
      <c r="B2523" t="s">
        <v>3345</v>
      </c>
      <c r="C2523" t="s">
        <v>55</v>
      </c>
      <c r="D2523" t="s">
        <v>15</v>
      </c>
      <c r="E2523" t="s">
        <v>26</v>
      </c>
      <c r="F2523" t="s">
        <v>17</v>
      </c>
      <c r="G2523" t="str">
        <f>"03"</f>
        <v>03</v>
      </c>
      <c r="H2523" t="str">
        <f>"0  "</f>
        <v xml:space="preserve">0  </v>
      </c>
      <c r="I2523" t="str">
        <f>"2020/08/11"</f>
        <v>2020/08/11</v>
      </c>
      <c r="J2523" t="str">
        <f>"420"</f>
        <v>420</v>
      </c>
      <c r="K2523" t="s">
        <v>18</v>
      </c>
      <c r="L2523" t="s">
        <v>18</v>
      </c>
      <c r="M2523" t="s">
        <v>18</v>
      </c>
    </row>
    <row r="2524" spans="1:13" x14ac:dyDescent="0.25">
      <c r="A2524" t="str">
        <f>"00293718"</f>
        <v>00293718</v>
      </c>
      <c r="B2524" t="s">
        <v>3345</v>
      </c>
      <c r="C2524" t="s">
        <v>169</v>
      </c>
      <c r="D2524" t="s">
        <v>40</v>
      </c>
      <c r="E2524" t="s">
        <v>26</v>
      </c>
      <c r="F2524" t="s">
        <v>17</v>
      </c>
      <c r="G2524" t="str">
        <f>"03"</f>
        <v>03</v>
      </c>
      <c r="H2524" t="str">
        <f>"7  "</f>
        <v xml:space="preserve">7  </v>
      </c>
      <c r="I2524" t="str">
        <f>"1999/05/21"</f>
        <v>1999/05/21</v>
      </c>
      <c r="J2524" t="str">
        <f>"114"</f>
        <v>114</v>
      </c>
      <c r="K2524" t="s">
        <v>18</v>
      </c>
      <c r="L2524" t="s">
        <v>18</v>
      </c>
      <c r="M2524" t="str">
        <f>"19980521"</f>
        <v>19980521</v>
      </c>
    </row>
    <row r="2525" spans="1:13" x14ac:dyDescent="0.25">
      <c r="A2525" t="str">
        <f>"00493087"</f>
        <v>00493087</v>
      </c>
      <c r="B2525" t="s">
        <v>3358</v>
      </c>
      <c r="C2525" t="s">
        <v>125</v>
      </c>
      <c r="D2525" t="s">
        <v>142</v>
      </c>
      <c r="E2525" t="s">
        <v>16</v>
      </c>
      <c r="F2525" t="s">
        <v>17</v>
      </c>
      <c r="G2525" t="str">
        <f>"03"</f>
        <v>03</v>
      </c>
      <c r="H2525" t="str">
        <f>"0  "</f>
        <v xml:space="preserve">0  </v>
      </c>
      <c r="I2525" t="str">
        <f>"2020/08/24"</f>
        <v>2020/08/24</v>
      </c>
      <c r="J2525" t="str">
        <f>"410"</f>
        <v>410</v>
      </c>
      <c r="K2525" t="s">
        <v>18</v>
      </c>
      <c r="L2525" t="s">
        <v>18</v>
      </c>
      <c r="M2525" t="s">
        <v>18</v>
      </c>
    </row>
    <row r="2526" spans="1:13" x14ac:dyDescent="0.25">
      <c r="A2526" t="str">
        <f>"00251631"</f>
        <v>00251631</v>
      </c>
      <c r="B2526" t="s">
        <v>3361</v>
      </c>
      <c r="C2526" t="s">
        <v>71</v>
      </c>
      <c r="D2526" t="s">
        <v>51</v>
      </c>
      <c r="E2526" t="s">
        <v>26</v>
      </c>
      <c r="F2526" t="s">
        <v>17</v>
      </c>
      <c r="G2526" t="str">
        <f>"03"</f>
        <v>03</v>
      </c>
      <c r="H2526" t="str">
        <f>"3  "</f>
        <v xml:space="preserve">3  </v>
      </c>
      <c r="I2526" t="str">
        <f>"2020/06/24"</f>
        <v>2020/06/24</v>
      </c>
      <c r="J2526" t="str">
        <f>"510"</f>
        <v>510</v>
      </c>
      <c r="K2526" t="str">
        <f>"20230622"</f>
        <v>20230622</v>
      </c>
      <c r="L2526" t="s">
        <v>18</v>
      </c>
      <c r="M2526" t="str">
        <f>"20191102"</f>
        <v>20191102</v>
      </c>
    </row>
    <row r="2527" spans="1:13" x14ac:dyDescent="0.25">
      <c r="A2527" t="str">
        <f>"00159971"</f>
        <v>00159971</v>
      </c>
      <c r="B2527" t="s">
        <v>3362</v>
      </c>
      <c r="C2527" t="s">
        <v>327</v>
      </c>
      <c r="D2527" t="s">
        <v>25</v>
      </c>
      <c r="E2527" t="s">
        <v>26</v>
      </c>
      <c r="F2527" t="s">
        <v>17</v>
      </c>
      <c r="G2527" t="str">
        <f>"03"</f>
        <v>03</v>
      </c>
      <c r="H2527" t="str">
        <f>"3  "</f>
        <v xml:space="preserve">3  </v>
      </c>
      <c r="I2527" t="str">
        <f>"2020/09/15"</f>
        <v>2020/09/15</v>
      </c>
      <c r="J2527" t="str">
        <f>"502"</f>
        <v>502</v>
      </c>
      <c r="K2527" t="str">
        <f>"20240209"</f>
        <v>20240209</v>
      </c>
      <c r="L2527" t="s">
        <v>18</v>
      </c>
      <c r="M2527" t="str">
        <f>"20190912"</f>
        <v>20190912</v>
      </c>
    </row>
    <row r="2528" spans="1:13" x14ac:dyDescent="0.25">
      <c r="A2528" t="str">
        <f>"00588923"</f>
        <v>00588923</v>
      </c>
      <c r="B2528" t="s">
        <v>3365</v>
      </c>
      <c r="C2528" t="s">
        <v>213</v>
      </c>
      <c r="D2528" t="s">
        <v>25</v>
      </c>
      <c r="E2528" t="s">
        <v>26</v>
      </c>
      <c r="F2528" t="s">
        <v>17</v>
      </c>
      <c r="G2528" t="str">
        <f>"03"</f>
        <v>03</v>
      </c>
      <c r="H2528" t="str">
        <f>"3  "</f>
        <v xml:space="preserve">3  </v>
      </c>
      <c r="I2528" t="str">
        <f>"2020/09/16"</f>
        <v>2020/09/16</v>
      </c>
      <c r="J2528" t="str">
        <f>"502"</f>
        <v>502</v>
      </c>
      <c r="K2528" t="str">
        <f>"20221021"</f>
        <v>20221021</v>
      </c>
      <c r="L2528" t="s">
        <v>18</v>
      </c>
      <c r="M2528" t="str">
        <f>"20170629"</f>
        <v>20170629</v>
      </c>
    </row>
    <row r="2529" spans="1:13" x14ac:dyDescent="0.25">
      <c r="A2529" t="str">
        <f>"00564374"</f>
        <v>00564374</v>
      </c>
      <c r="B2529" t="s">
        <v>3367</v>
      </c>
      <c r="C2529" t="s">
        <v>74</v>
      </c>
      <c r="D2529" t="s">
        <v>15</v>
      </c>
      <c r="E2529" t="s">
        <v>16</v>
      </c>
      <c r="F2529" t="s">
        <v>17</v>
      </c>
      <c r="G2529" t="str">
        <f>"03"</f>
        <v>03</v>
      </c>
      <c r="H2529" t="str">
        <f>"0  "</f>
        <v xml:space="preserve">0  </v>
      </c>
      <c r="I2529" t="str">
        <f>"2020/09/16"</f>
        <v>2020/09/16</v>
      </c>
      <c r="J2529" t="str">
        <f>"410"</f>
        <v>410</v>
      </c>
      <c r="K2529" t="s">
        <v>18</v>
      </c>
      <c r="L2529" t="s">
        <v>18</v>
      </c>
      <c r="M2529" t="s">
        <v>18</v>
      </c>
    </row>
    <row r="2530" spans="1:13" x14ac:dyDescent="0.25">
      <c r="A2530" t="str">
        <f>"00241654"</f>
        <v>00241654</v>
      </c>
      <c r="B2530" t="s">
        <v>3371</v>
      </c>
      <c r="C2530" t="s">
        <v>3372</v>
      </c>
      <c r="D2530" t="s">
        <v>15</v>
      </c>
      <c r="E2530" t="s">
        <v>26</v>
      </c>
      <c r="F2530" t="s">
        <v>17</v>
      </c>
      <c r="G2530" t="str">
        <f>"03"</f>
        <v>03</v>
      </c>
      <c r="H2530" t="str">
        <f>"3  "</f>
        <v xml:space="preserve">3  </v>
      </c>
      <c r="I2530" t="str">
        <f>"2013/09/12"</f>
        <v>2013/09/12</v>
      </c>
      <c r="J2530" t="str">
        <f>"110"</f>
        <v>110</v>
      </c>
      <c r="K2530" t="str">
        <f>"20231010"</f>
        <v>20231010</v>
      </c>
      <c r="L2530" t="s">
        <v>18</v>
      </c>
      <c r="M2530" t="str">
        <f>"20121212"</f>
        <v>20121212</v>
      </c>
    </row>
    <row r="2531" spans="1:13" x14ac:dyDescent="0.25">
      <c r="A2531" t="str">
        <f>"00318895"</f>
        <v>00318895</v>
      </c>
      <c r="B2531" t="s">
        <v>3373</v>
      </c>
      <c r="C2531" t="s">
        <v>244</v>
      </c>
      <c r="D2531" t="s">
        <v>37</v>
      </c>
      <c r="E2531" t="s">
        <v>16</v>
      </c>
      <c r="F2531" t="s">
        <v>17</v>
      </c>
      <c r="G2531" t="str">
        <f>"03"</f>
        <v>03</v>
      </c>
      <c r="H2531" t="str">
        <f>"3  "</f>
        <v xml:space="preserve">3  </v>
      </c>
      <c r="I2531" t="str">
        <f>"2011/10/23"</f>
        <v>2011/10/23</v>
      </c>
      <c r="J2531" t="str">
        <f>"110"</f>
        <v>110</v>
      </c>
      <c r="K2531" t="str">
        <f>"20260521"</f>
        <v>20260521</v>
      </c>
      <c r="L2531" t="s">
        <v>18</v>
      </c>
      <c r="M2531" t="str">
        <f>"20110607"</f>
        <v>20110607</v>
      </c>
    </row>
    <row r="2532" spans="1:13" x14ac:dyDescent="0.25">
      <c r="A2532" t="str">
        <f>"00717015"</f>
        <v>00717015</v>
      </c>
      <c r="B2532" t="s">
        <v>3375</v>
      </c>
      <c r="C2532" t="s">
        <v>3377</v>
      </c>
      <c r="D2532" t="s">
        <v>53</v>
      </c>
      <c r="E2532" t="s">
        <v>26</v>
      </c>
      <c r="F2532" t="s">
        <v>17</v>
      </c>
      <c r="G2532" t="str">
        <f>"03"</f>
        <v>03</v>
      </c>
      <c r="H2532" t="str">
        <f>"0  "</f>
        <v xml:space="preserve">0  </v>
      </c>
      <c r="I2532" t="str">
        <f>"2019/12/05"</f>
        <v>2019/12/05</v>
      </c>
      <c r="J2532" t="str">
        <f>"420"</f>
        <v>420</v>
      </c>
      <c r="K2532" t="s">
        <v>18</v>
      </c>
      <c r="L2532" t="s">
        <v>18</v>
      </c>
      <c r="M2532" t="s">
        <v>18</v>
      </c>
    </row>
    <row r="2533" spans="1:13" x14ac:dyDescent="0.25">
      <c r="A2533" t="str">
        <f>"00583944"</f>
        <v>00583944</v>
      </c>
      <c r="B2533" t="s">
        <v>3379</v>
      </c>
      <c r="C2533" t="s">
        <v>22</v>
      </c>
      <c r="D2533" t="s">
        <v>16</v>
      </c>
      <c r="E2533" t="s">
        <v>16</v>
      </c>
      <c r="F2533" t="s">
        <v>17</v>
      </c>
      <c r="G2533" t="str">
        <f>"03"</f>
        <v>03</v>
      </c>
      <c r="H2533" t="str">
        <f>"1  "</f>
        <v xml:space="preserve">1  </v>
      </c>
      <c r="I2533" t="str">
        <f>"2020/05/29"</f>
        <v>2020/05/29</v>
      </c>
      <c r="J2533" t="str">
        <f>"120"</f>
        <v>120</v>
      </c>
      <c r="K2533" t="str">
        <f>"20210322"</f>
        <v>20210322</v>
      </c>
      <c r="L2533" t="s">
        <v>18</v>
      </c>
      <c r="M2533" t="str">
        <f>"20200519"</f>
        <v>20200519</v>
      </c>
    </row>
    <row r="2534" spans="1:13" x14ac:dyDescent="0.25">
      <c r="A2534" t="str">
        <f>"00268713"</f>
        <v>00268713</v>
      </c>
      <c r="B2534" t="s">
        <v>3380</v>
      </c>
      <c r="C2534" t="s">
        <v>136</v>
      </c>
      <c r="D2534" t="s">
        <v>91</v>
      </c>
      <c r="E2534" t="s">
        <v>16</v>
      </c>
      <c r="F2534" t="s">
        <v>17</v>
      </c>
      <c r="G2534" t="str">
        <f>"03"</f>
        <v>03</v>
      </c>
      <c r="H2534" t="str">
        <f>"3  "</f>
        <v xml:space="preserve">3  </v>
      </c>
      <c r="I2534" t="str">
        <f>"2011/02/23"</f>
        <v>2011/02/23</v>
      </c>
      <c r="J2534" t="str">
        <f>"110"</f>
        <v>110</v>
      </c>
      <c r="K2534" t="str">
        <f>"20270609"</f>
        <v>20270609</v>
      </c>
      <c r="L2534" t="s">
        <v>18</v>
      </c>
      <c r="M2534" t="str">
        <f>"20100626"</f>
        <v>20100626</v>
      </c>
    </row>
    <row r="2535" spans="1:13" x14ac:dyDescent="0.25">
      <c r="A2535" t="str">
        <f>"00134547"</f>
        <v>00134547</v>
      </c>
      <c r="B2535" t="s">
        <v>3381</v>
      </c>
      <c r="C2535" t="s">
        <v>3382</v>
      </c>
      <c r="D2535" t="s">
        <v>25</v>
      </c>
      <c r="E2535" t="s">
        <v>26</v>
      </c>
      <c r="F2535" t="s">
        <v>17</v>
      </c>
      <c r="G2535" t="str">
        <f>"03"</f>
        <v>03</v>
      </c>
      <c r="H2535" t="str">
        <f>"7  "</f>
        <v xml:space="preserve">7  </v>
      </c>
      <c r="I2535" t="str">
        <f>"2020/03/06"</f>
        <v>2020/03/06</v>
      </c>
      <c r="J2535" t="str">
        <f>"502"</f>
        <v>502</v>
      </c>
      <c r="K2535" t="s">
        <v>18</v>
      </c>
      <c r="L2535" t="s">
        <v>18</v>
      </c>
      <c r="M2535" t="str">
        <f>"19750507"</f>
        <v>19750507</v>
      </c>
    </row>
    <row r="2536" spans="1:13" x14ac:dyDescent="0.25">
      <c r="A2536" t="str">
        <f>"00376142"</f>
        <v>00376142</v>
      </c>
      <c r="B2536" t="s">
        <v>3389</v>
      </c>
      <c r="C2536" t="s">
        <v>738</v>
      </c>
      <c r="D2536" t="s">
        <v>61</v>
      </c>
      <c r="E2536" t="s">
        <v>26</v>
      </c>
      <c r="F2536" t="s">
        <v>17</v>
      </c>
      <c r="G2536" t="str">
        <f>"03"</f>
        <v>03</v>
      </c>
      <c r="H2536" t="str">
        <f>"0  "</f>
        <v xml:space="preserve">0  </v>
      </c>
      <c r="I2536" t="str">
        <f>"2020/02/10"</f>
        <v>2020/02/10</v>
      </c>
      <c r="J2536" t="str">
        <f>"510"</f>
        <v>510</v>
      </c>
      <c r="K2536" t="s">
        <v>18</v>
      </c>
      <c r="L2536" t="s">
        <v>18</v>
      </c>
      <c r="M2536" t="s">
        <v>18</v>
      </c>
    </row>
    <row r="2537" spans="1:13" x14ac:dyDescent="0.25">
      <c r="A2537" t="str">
        <f>"00442099"</f>
        <v>00442099</v>
      </c>
      <c r="B2537" t="s">
        <v>3390</v>
      </c>
      <c r="C2537" t="s">
        <v>136</v>
      </c>
      <c r="D2537" t="s">
        <v>37</v>
      </c>
      <c r="E2537" t="s">
        <v>16</v>
      </c>
      <c r="F2537" t="s">
        <v>17</v>
      </c>
      <c r="G2537" t="str">
        <f>"03"</f>
        <v>03</v>
      </c>
      <c r="H2537" t="str">
        <f>"1  "</f>
        <v xml:space="preserve">1  </v>
      </c>
      <c r="I2537" t="str">
        <f>"2020/08/11"</f>
        <v>2020/08/11</v>
      </c>
      <c r="J2537" t="str">
        <f>"512"</f>
        <v>512</v>
      </c>
      <c r="K2537" t="str">
        <f>"20201014"</f>
        <v>20201014</v>
      </c>
      <c r="L2537" t="s">
        <v>18</v>
      </c>
      <c r="M2537" t="str">
        <f>"20200721"</f>
        <v>20200721</v>
      </c>
    </row>
    <row r="2538" spans="1:13" x14ac:dyDescent="0.25">
      <c r="A2538" t="str">
        <f>"00381611"</f>
        <v>00381611</v>
      </c>
      <c r="B2538" t="s">
        <v>3393</v>
      </c>
      <c r="C2538" t="s">
        <v>246</v>
      </c>
      <c r="D2538" t="s">
        <v>26</v>
      </c>
      <c r="E2538" t="s">
        <v>16</v>
      </c>
      <c r="F2538" t="s">
        <v>17</v>
      </c>
      <c r="G2538" t="str">
        <f>"03"</f>
        <v>03</v>
      </c>
      <c r="H2538" t="str">
        <f>"3  "</f>
        <v xml:space="preserve">3  </v>
      </c>
      <c r="I2538" t="str">
        <f>"2019/10/02"</f>
        <v>2019/10/02</v>
      </c>
      <c r="J2538" t="str">
        <f>"502"</f>
        <v>502</v>
      </c>
      <c r="K2538" t="str">
        <f>"20200929"</f>
        <v>20200929</v>
      </c>
      <c r="L2538" t="s">
        <v>18</v>
      </c>
      <c r="M2538" t="str">
        <f>"20121121"</f>
        <v>20121121</v>
      </c>
    </row>
    <row r="2539" spans="1:13" x14ac:dyDescent="0.25">
      <c r="A2539" t="str">
        <f>"00523579"</f>
        <v>00523579</v>
      </c>
      <c r="B2539" t="s">
        <v>3400</v>
      </c>
      <c r="C2539" t="s">
        <v>3401</v>
      </c>
      <c r="D2539" t="s">
        <v>25</v>
      </c>
      <c r="E2539" t="s">
        <v>26</v>
      </c>
      <c r="F2539" t="s">
        <v>17</v>
      </c>
      <c r="G2539" t="str">
        <f>"03"</f>
        <v>03</v>
      </c>
      <c r="H2539" t="str">
        <f>"0  "</f>
        <v xml:space="preserve">0  </v>
      </c>
      <c r="I2539" t="str">
        <f>"2019/10/08"</f>
        <v>2019/10/08</v>
      </c>
      <c r="J2539" t="str">
        <f>"410"</f>
        <v>410</v>
      </c>
      <c r="K2539" t="s">
        <v>18</v>
      </c>
      <c r="L2539" t="s">
        <v>18</v>
      </c>
      <c r="M2539" t="s">
        <v>18</v>
      </c>
    </row>
    <row r="2540" spans="1:13" x14ac:dyDescent="0.25">
      <c r="A2540" t="str">
        <f>"00139419"</f>
        <v>00139419</v>
      </c>
      <c r="B2540" t="s">
        <v>3407</v>
      </c>
      <c r="C2540" t="s">
        <v>772</v>
      </c>
      <c r="D2540" t="s">
        <v>51</v>
      </c>
      <c r="E2540" t="s">
        <v>16</v>
      </c>
      <c r="F2540" t="s">
        <v>17</v>
      </c>
      <c r="G2540" t="str">
        <f>"03"</f>
        <v>03</v>
      </c>
      <c r="H2540" t="str">
        <f>"7  "</f>
        <v xml:space="preserve">7  </v>
      </c>
      <c r="I2540" t="str">
        <f>"1985/11/27"</f>
        <v>1985/11/27</v>
      </c>
      <c r="J2540" t="str">
        <f>"119"</f>
        <v>119</v>
      </c>
      <c r="K2540" t="s">
        <v>18</v>
      </c>
      <c r="L2540" t="s">
        <v>18</v>
      </c>
      <c r="M2540" t="str">
        <f>"19850619"</f>
        <v>19850619</v>
      </c>
    </row>
    <row r="2541" spans="1:13" x14ac:dyDescent="0.25">
      <c r="A2541" t="str">
        <f>"00766261"</f>
        <v>00766261</v>
      </c>
      <c r="B2541" t="s">
        <v>3407</v>
      </c>
      <c r="C2541" t="s">
        <v>3409</v>
      </c>
      <c r="D2541" t="s">
        <v>45</v>
      </c>
      <c r="E2541" t="s">
        <v>26</v>
      </c>
      <c r="F2541" t="s">
        <v>17</v>
      </c>
      <c r="G2541" t="str">
        <f>"03"</f>
        <v>03</v>
      </c>
      <c r="H2541" t="str">
        <f>"0  "</f>
        <v xml:space="preserve">0  </v>
      </c>
      <c r="I2541" t="str">
        <f>"2020/06/15"</f>
        <v>2020/06/15</v>
      </c>
      <c r="J2541" t="str">
        <f>"410"</f>
        <v>410</v>
      </c>
      <c r="K2541" t="s">
        <v>18</v>
      </c>
      <c r="L2541" t="s">
        <v>18</v>
      </c>
      <c r="M2541" t="s">
        <v>18</v>
      </c>
    </row>
    <row r="2542" spans="1:13" x14ac:dyDescent="0.25">
      <c r="A2542" t="str">
        <f>"00455830"</f>
        <v>00455830</v>
      </c>
      <c r="B2542" t="s">
        <v>3412</v>
      </c>
      <c r="C2542" t="s">
        <v>135</v>
      </c>
      <c r="D2542" t="s">
        <v>53</v>
      </c>
      <c r="E2542" t="s">
        <v>26</v>
      </c>
      <c r="F2542" t="s">
        <v>17</v>
      </c>
      <c r="G2542" t="str">
        <f>"03"</f>
        <v>03</v>
      </c>
      <c r="H2542" t="str">
        <f>"3  "</f>
        <v xml:space="preserve">3  </v>
      </c>
      <c r="I2542" t="str">
        <f>"2019/10/28"</f>
        <v>2019/10/28</v>
      </c>
      <c r="J2542" t="str">
        <f>"110"</f>
        <v>110</v>
      </c>
      <c r="K2542" t="str">
        <f>"20220123"</f>
        <v>20220123</v>
      </c>
      <c r="L2542" t="s">
        <v>18</v>
      </c>
      <c r="M2542" t="str">
        <f>"20180605"</f>
        <v>20180605</v>
      </c>
    </row>
    <row r="2543" spans="1:13" x14ac:dyDescent="0.25">
      <c r="A2543" t="str">
        <f>"00839147"</f>
        <v>00839147</v>
      </c>
      <c r="B2543" t="s">
        <v>3418</v>
      </c>
      <c r="C2543" t="s">
        <v>36</v>
      </c>
      <c r="D2543" t="s">
        <v>26</v>
      </c>
      <c r="E2543" t="s">
        <v>16</v>
      </c>
      <c r="F2543" t="s">
        <v>17</v>
      </c>
      <c r="G2543" t="str">
        <f>"03"</f>
        <v>03</v>
      </c>
      <c r="H2543" t="str">
        <f>"3  "</f>
        <v xml:space="preserve">3  </v>
      </c>
      <c r="I2543" t="str">
        <f>"2020/06/24"</f>
        <v>2020/06/24</v>
      </c>
      <c r="J2543" t="str">
        <f>"110"</f>
        <v>110</v>
      </c>
      <c r="K2543" t="str">
        <f>"20220320"</f>
        <v>20220320</v>
      </c>
      <c r="L2543" t="s">
        <v>18</v>
      </c>
      <c r="M2543" t="str">
        <f>"20200523"</f>
        <v>20200523</v>
      </c>
    </row>
    <row r="2544" spans="1:13" x14ac:dyDescent="0.25">
      <c r="A2544" t="str">
        <f>"00523987"</f>
        <v>00523987</v>
      </c>
      <c r="B2544" t="s">
        <v>3423</v>
      </c>
      <c r="C2544" t="s">
        <v>136</v>
      </c>
      <c r="D2544" t="s">
        <v>107</v>
      </c>
      <c r="E2544" t="s">
        <v>26</v>
      </c>
      <c r="F2544" t="s">
        <v>17</v>
      </c>
      <c r="G2544" t="str">
        <f>"03"</f>
        <v>03</v>
      </c>
      <c r="H2544" t="str">
        <f>"0  "</f>
        <v xml:space="preserve">0  </v>
      </c>
      <c r="I2544" t="str">
        <f>"2020/09/09"</f>
        <v>2020/09/09</v>
      </c>
      <c r="J2544" t="str">
        <f>"502"</f>
        <v>502</v>
      </c>
      <c r="K2544" t="s">
        <v>18</v>
      </c>
      <c r="L2544" t="s">
        <v>18</v>
      </c>
      <c r="M2544" t="s">
        <v>18</v>
      </c>
    </row>
    <row r="2545" spans="1:13" x14ac:dyDescent="0.25">
      <c r="A2545" t="str">
        <f>"00536847"</f>
        <v>00536847</v>
      </c>
      <c r="B2545" t="s">
        <v>3440</v>
      </c>
      <c r="C2545" t="s">
        <v>471</v>
      </c>
      <c r="D2545" t="s">
        <v>25</v>
      </c>
      <c r="E2545" t="s">
        <v>26</v>
      </c>
      <c r="F2545" t="s">
        <v>17</v>
      </c>
      <c r="G2545" t="str">
        <f>"03"</f>
        <v>03</v>
      </c>
      <c r="H2545" t="str">
        <f>"1  "</f>
        <v xml:space="preserve">1  </v>
      </c>
      <c r="I2545" t="str">
        <f>"2020/07/02"</f>
        <v>2020/07/02</v>
      </c>
      <c r="J2545" t="str">
        <f>"110"</f>
        <v>110</v>
      </c>
      <c r="K2545" t="str">
        <f>"20201206"</f>
        <v>20201206</v>
      </c>
      <c r="L2545" t="s">
        <v>18</v>
      </c>
      <c r="M2545" t="str">
        <f>"20200327"</f>
        <v>20200327</v>
      </c>
    </row>
    <row r="2546" spans="1:13" x14ac:dyDescent="0.25">
      <c r="A2546" t="str">
        <f>"00276974"</f>
        <v>00276974</v>
      </c>
      <c r="B2546" t="s">
        <v>3448</v>
      </c>
      <c r="C2546" t="s">
        <v>169</v>
      </c>
      <c r="D2546" t="s">
        <v>45</v>
      </c>
      <c r="E2546" t="s">
        <v>16</v>
      </c>
      <c r="F2546" t="s">
        <v>17</v>
      </c>
      <c r="G2546" t="str">
        <f>"03"</f>
        <v>03</v>
      </c>
      <c r="H2546" t="str">
        <f>"0  "</f>
        <v xml:space="preserve">0  </v>
      </c>
      <c r="I2546" t="str">
        <f>"2020/08/26"</f>
        <v>2020/08/26</v>
      </c>
      <c r="J2546" t="str">
        <f>"420"</f>
        <v>420</v>
      </c>
      <c r="K2546" t="s">
        <v>18</v>
      </c>
      <c r="L2546" t="s">
        <v>18</v>
      </c>
      <c r="M2546" t="s">
        <v>18</v>
      </c>
    </row>
    <row r="2547" spans="1:13" x14ac:dyDescent="0.25">
      <c r="A2547" t="str">
        <f>"00563797"</f>
        <v>00563797</v>
      </c>
      <c r="B2547" t="s">
        <v>3450</v>
      </c>
      <c r="C2547" t="s">
        <v>135</v>
      </c>
      <c r="D2547" t="s">
        <v>121</v>
      </c>
      <c r="E2547" t="s">
        <v>26</v>
      </c>
      <c r="F2547" t="s">
        <v>17</v>
      </c>
      <c r="G2547" t="str">
        <f>"03"</f>
        <v>03</v>
      </c>
      <c r="H2547" t="str">
        <f>"3  "</f>
        <v xml:space="preserve">3  </v>
      </c>
      <c r="I2547" t="str">
        <f>"2011/07/11"</f>
        <v>2011/07/11</v>
      </c>
      <c r="J2547" t="str">
        <f>"110"</f>
        <v>110</v>
      </c>
      <c r="K2547" t="str">
        <f>"20400903"</f>
        <v>20400903</v>
      </c>
      <c r="L2547" t="s">
        <v>18</v>
      </c>
      <c r="M2547" t="str">
        <f>"20100713"</f>
        <v>20100713</v>
      </c>
    </row>
    <row r="2548" spans="1:13" x14ac:dyDescent="0.25">
      <c r="A2548" t="str">
        <f>"00902734"</f>
        <v>00902734</v>
      </c>
      <c r="B2548" t="s">
        <v>3450</v>
      </c>
      <c r="C2548" t="s">
        <v>120</v>
      </c>
      <c r="D2548" t="s">
        <v>40</v>
      </c>
      <c r="E2548" t="s">
        <v>26</v>
      </c>
      <c r="F2548" t="s">
        <v>17</v>
      </c>
      <c r="G2548" t="str">
        <f>"03"</f>
        <v>03</v>
      </c>
      <c r="H2548" t="str">
        <f>"1  "</f>
        <v xml:space="preserve">1  </v>
      </c>
      <c r="I2548" t="str">
        <f>"2020/02/07"</f>
        <v>2020/02/07</v>
      </c>
      <c r="J2548" t="str">
        <f>"110"</f>
        <v>110</v>
      </c>
      <c r="K2548" t="str">
        <f>"20201219"</f>
        <v>20201219</v>
      </c>
      <c r="L2548" t="s">
        <v>18</v>
      </c>
      <c r="M2548" t="str">
        <f>"20200113"</f>
        <v>20200113</v>
      </c>
    </row>
    <row r="2549" spans="1:13" x14ac:dyDescent="0.25">
      <c r="A2549" t="str">
        <f>"00289797"</f>
        <v>00289797</v>
      </c>
      <c r="B2549" t="s">
        <v>3450</v>
      </c>
      <c r="C2549" t="s">
        <v>3454</v>
      </c>
      <c r="D2549" t="s">
        <v>16</v>
      </c>
      <c r="E2549" t="s">
        <v>16</v>
      </c>
      <c r="F2549" t="s">
        <v>17</v>
      </c>
      <c r="G2549" t="str">
        <f>"03"</f>
        <v>03</v>
      </c>
      <c r="H2549" t="str">
        <f>"3  "</f>
        <v xml:space="preserve">3  </v>
      </c>
      <c r="I2549" t="str">
        <f>"2011/03/20"</f>
        <v>2011/03/20</v>
      </c>
      <c r="J2549" t="str">
        <f>"110"</f>
        <v>110</v>
      </c>
      <c r="K2549" t="str">
        <f>"20310504"</f>
        <v>20310504</v>
      </c>
      <c r="L2549" t="s">
        <v>18</v>
      </c>
      <c r="M2549" t="str">
        <f>"20110303"</f>
        <v>20110303</v>
      </c>
    </row>
    <row r="2550" spans="1:13" x14ac:dyDescent="0.25">
      <c r="A2550" t="str">
        <f>"00424765"</f>
        <v>00424765</v>
      </c>
      <c r="B2550" t="s">
        <v>3450</v>
      </c>
      <c r="C2550" t="s">
        <v>246</v>
      </c>
      <c r="D2550" t="s">
        <v>16</v>
      </c>
      <c r="E2550" t="s">
        <v>26</v>
      </c>
      <c r="F2550" t="s">
        <v>17</v>
      </c>
      <c r="G2550" t="str">
        <f>"03"</f>
        <v>03</v>
      </c>
      <c r="H2550" t="str">
        <f>"3  "</f>
        <v xml:space="preserve">3  </v>
      </c>
      <c r="I2550" t="str">
        <f>"2020/01/28"</f>
        <v>2020/01/28</v>
      </c>
      <c r="J2550" t="str">
        <f>"110"</f>
        <v>110</v>
      </c>
      <c r="K2550" t="str">
        <f>"20210108"</f>
        <v>20210108</v>
      </c>
      <c r="L2550" t="s">
        <v>18</v>
      </c>
      <c r="M2550" t="str">
        <f>"20190829"</f>
        <v>20190829</v>
      </c>
    </row>
    <row r="2551" spans="1:13" x14ac:dyDescent="0.25">
      <c r="A2551" t="str">
        <f>"00405150"</f>
        <v>00405150</v>
      </c>
      <c r="B2551" t="s">
        <v>3450</v>
      </c>
      <c r="C2551" t="s">
        <v>938</v>
      </c>
      <c r="D2551" t="s">
        <v>37</v>
      </c>
      <c r="E2551" t="s">
        <v>26</v>
      </c>
      <c r="F2551" t="s">
        <v>17</v>
      </c>
      <c r="G2551" t="str">
        <f>"03"</f>
        <v>03</v>
      </c>
      <c r="H2551" t="str">
        <f>"0  "</f>
        <v xml:space="preserve">0  </v>
      </c>
      <c r="I2551" t="str">
        <f>"2020/09/03"</f>
        <v>2020/09/03</v>
      </c>
      <c r="J2551" t="str">
        <f>"420"</f>
        <v>420</v>
      </c>
      <c r="K2551" t="s">
        <v>18</v>
      </c>
      <c r="L2551" t="s">
        <v>18</v>
      </c>
      <c r="M2551" t="s">
        <v>18</v>
      </c>
    </row>
    <row r="2552" spans="1:13" x14ac:dyDescent="0.25">
      <c r="A2552" t="str">
        <f>"00376060"</f>
        <v>00376060</v>
      </c>
      <c r="B2552" t="s">
        <v>3450</v>
      </c>
      <c r="C2552" t="s">
        <v>3408</v>
      </c>
      <c r="D2552" t="s">
        <v>80</v>
      </c>
      <c r="E2552" t="s">
        <v>16</v>
      </c>
      <c r="F2552" t="s">
        <v>17</v>
      </c>
      <c r="G2552" t="str">
        <f>"03"</f>
        <v>03</v>
      </c>
      <c r="H2552" t="str">
        <f>"3  "</f>
        <v xml:space="preserve">3  </v>
      </c>
      <c r="I2552" t="str">
        <f>"2016/01/28"</f>
        <v>2016/01/28</v>
      </c>
      <c r="J2552" t="str">
        <f>"110"</f>
        <v>110</v>
      </c>
      <c r="K2552" t="str">
        <f>"20220120"</f>
        <v>20220120</v>
      </c>
      <c r="L2552" t="s">
        <v>18</v>
      </c>
      <c r="M2552" t="str">
        <f>"20150809"</f>
        <v>20150809</v>
      </c>
    </row>
    <row r="2553" spans="1:13" x14ac:dyDescent="0.25">
      <c r="A2553" t="str">
        <f>"00911240"</f>
        <v>00911240</v>
      </c>
      <c r="B2553" t="s">
        <v>3450</v>
      </c>
      <c r="C2553" t="s">
        <v>1952</v>
      </c>
      <c r="D2553" t="s">
        <v>25</v>
      </c>
      <c r="E2553" t="s">
        <v>26</v>
      </c>
      <c r="F2553" t="s">
        <v>17</v>
      </c>
      <c r="G2553" t="str">
        <f>"03"</f>
        <v>03</v>
      </c>
      <c r="H2553" t="str">
        <f>"3  "</f>
        <v xml:space="preserve">3  </v>
      </c>
      <c r="I2553" t="str">
        <f>"2019/12/03"</f>
        <v>2019/12/03</v>
      </c>
      <c r="J2553" t="str">
        <f>"110"</f>
        <v>110</v>
      </c>
      <c r="K2553" t="str">
        <f>"20210417"</f>
        <v>20210417</v>
      </c>
      <c r="L2553" t="s">
        <v>18</v>
      </c>
      <c r="M2553" t="str">
        <f>"20190710"</f>
        <v>20190710</v>
      </c>
    </row>
    <row r="2554" spans="1:13" x14ac:dyDescent="0.25">
      <c r="A2554" t="str">
        <f>"00711925"</f>
        <v>00711925</v>
      </c>
      <c r="B2554" t="s">
        <v>3450</v>
      </c>
      <c r="C2554" t="s">
        <v>626</v>
      </c>
      <c r="D2554" t="s">
        <v>40</v>
      </c>
      <c r="E2554" t="s">
        <v>26</v>
      </c>
      <c r="F2554" t="s">
        <v>17</v>
      </c>
      <c r="G2554" t="str">
        <f>"03"</f>
        <v>03</v>
      </c>
      <c r="H2554" t="str">
        <f>"1  "</f>
        <v xml:space="preserve">1  </v>
      </c>
      <c r="I2554" t="str">
        <f>"2020/08/25"</f>
        <v>2020/08/25</v>
      </c>
      <c r="J2554" t="str">
        <f>"110"</f>
        <v>110</v>
      </c>
      <c r="K2554" t="str">
        <f>"20210212"</f>
        <v>20210212</v>
      </c>
      <c r="L2554" t="s">
        <v>18</v>
      </c>
      <c r="M2554" t="str">
        <f>"20200825"</f>
        <v>20200825</v>
      </c>
    </row>
    <row r="2555" spans="1:13" x14ac:dyDescent="0.25">
      <c r="A2555" t="str">
        <f>"00440529"</f>
        <v>00440529</v>
      </c>
      <c r="B2555" t="s">
        <v>3450</v>
      </c>
      <c r="C2555" t="s">
        <v>320</v>
      </c>
      <c r="D2555" t="s">
        <v>15</v>
      </c>
      <c r="E2555" t="s">
        <v>26</v>
      </c>
      <c r="F2555" t="s">
        <v>17</v>
      </c>
      <c r="G2555" t="str">
        <f>"03"</f>
        <v>03</v>
      </c>
      <c r="H2555" t="str">
        <f>"3  "</f>
        <v xml:space="preserve">3  </v>
      </c>
      <c r="I2555" t="str">
        <f>"2016/04/21"</f>
        <v>2016/04/21</v>
      </c>
      <c r="J2555" t="str">
        <f>"110"</f>
        <v>110</v>
      </c>
      <c r="K2555" t="str">
        <f>"20261030"</f>
        <v>20261030</v>
      </c>
      <c r="L2555" t="s">
        <v>18</v>
      </c>
      <c r="M2555" t="str">
        <f>"20150526"</f>
        <v>20150526</v>
      </c>
    </row>
    <row r="2556" spans="1:13" x14ac:dyDescent="0.25">
      <c r="A2556" t="str">
        <f>"00202188"</f>
        <v>00202188</v>
      </c>
      <c r="B2556" t="s">
        <v>3450</v>
      </c>
      <c r="C2556" t="s">
        <v>3458</v>
      </c>
      <c r="D2556" t="s">
        <v>51</v>
      </c>
      <c r="E2556" t="s">
        <v>26</v>
      </c>
      <c r="F2556" t="s">
        <v>17</v>
      </c>
      <c r="G2556" t="str">
        <f>"03"</f>
        <v>03</v>
      </c>
      <c r="H2556" t="str">
        <f>"1  "</f>
        <v xml:space="preserve">1  </v>
      </c>
      <c r="I2556" t="str">
        <f>"2020/02/17"</f>
        <v>2020/02/17</v>
      </c>
      <c r="J2556" t="str">
        <f>"120"</f>
        <v>120</v>
      </c>
      <c r="K2556" t="str">
        <f>"20201010"</f>
        <v>20201010</v>
      </c>
      <c r="L2556" t="s">
        <v>18</v>
      </c>
      <c r="M2556" t="str">
        <f>"20200203"</f>
        <v>20200203</v>
      </c>
    </row>
    <row r="2557" spans="1:13" x14ac:dyDescent="0.25">
      <c r="A2557" t="str">
        <f>"00374541"</f>
        <v>00374541</v>
      </c>
      <c r="B2557" t="s">
        <v>3450</v>
      </c>
      <c r="C2557" t="s">
        <v>133</v>
      </c>
      <c r="D2557" t="s">
        <v>40</v>
      </c>
      <c r="E2557" t="s">
        <v>26</v>
      </c>
      <c r="F2557" t="s">
        <v>17</v>
      </c>
      <c r="G2557" t="str">
        <f>"03"</f>
        <v>03</v>
      </c>
      <c r="H2557" t="str">
        <f>"3  "</f>
        <v xml:space="preserve">3  </v>
      </c>
      <c r="I2557" t="str">
        <f>"2019/11/14"</f>
        <v>2019/11/14</v>
      </c>
      <c r="J2557" t="str">
        <f>"512"</f>
        <v>512</v>
      </c>
      <c r="K2557" t="str">
        <f>"20230521"</f>
        <v>20230521</v>
      </c>
      <c r="L2557" t="s">
        <v>18</v>
      </c>
      <c r="M2557" t="str">
        <f>"20190509"</f>
        <v>20190509</v>
      </c>
    </row>
    <row r="2558" spans="1:13" x14ac:dyDescent="0.25">
      <c r="A2558" t="str">
        <f>"00241686"</f>
        <v>00241686</v>
      </c>
      <c r="B2558" t="s">
        <v>3450</v>
      </c>
      <c r="C2558" t="s">
        <v>169</v>
      </c>
      <c r="D2558" t="s">
        <v>31</v>
      </c>
      <c r="E2558" t="s">
        <v>16</v>
      </c>
      <c r="F2558" t="s">
        <v>17</v>
      </c>
      <c r="G2558" t="str">
        <f>"03"</f>
        <v>03</v>
      </c>
      <c r="H2558" t="str">
        <f>"3  "</f>
        <v xml:space="preserve">3  </v>
      </c>
      <c r="I2558" t="str">
        <f>"2019/02/14"</f>
        <v>2019/02/14</v>
      </c>
      <c r="J2558" t="str">
        <f>"110"</f>
        <v>110</v>
      </c>
      <c r="K2558" t="str">
        <f>"20230104"</f>
        <v>20230104</v>
      </c>
      <c r="L2558" t="s">
        <v>18</v>
      </c>
      <c r="M2558" t="str">
        <f>"20180819"</f>
        <v>20180819</v>
      </c>
    </row>
    <row r="2559" spans="1:13" x14ac:dyDescent="0.25">
      <c r="A2559" t="str">
        <f>"00602921"</f>
        <v>00602921</v>
      </c>
      <c r="B2559" t="s">
        <v>3465</v>
      </c>
      <c r="C2559" t="s">
        <v>125</v>
      </c>
      <c r="D2559" t="s">
        <v>40</v>
      </c>
      <c r="E2559" t="s">
        <v>16</v>
      </c>
      <c r="F2559" t="s">
        <v>17</v>
      </c>
      <c r="G2559" t="str">
        <f>"03"</f>
        <v>03</v>
      </c>
      <c r="H2559" t="str">
        <f>"3  "</f>
        <v xml:space="preserve">3  </v>
      </c>
      <c r="I2559" t="str">
        <f>"2019/10/31"</f>
        <v>2019/10/31</v>
      </c>
      <c r="J2559" t="str">
        <f>"110"</f>
        <v>110</v>
      </c>
      <c r="K2559" t="str">
        <f>"20360708"</f>
        <v>20360708</v>
      </c>
      <c r="L2559" t="s">
        <v>18</v>
      </c>
      <c r="M2559" t="str">
        <f>"20180727"</f>
        <v>20180727</v>
      </c>
    </row>
    <row r="2560" spans="1:13" x14ac:dyDescent="0.25">
      <c r="A2560" t="str">
        <f>"00248797"</f>
        <v>00248797</v>
      </c>
      <c r="B2560" t="s">
        <v>3469</v>
      </c>
      <c r="C2560" t="s">
        <v>55</v>
      </c>
      <c r="D2560" t="s">
        <v>61</v>
      </c>
      <c r="E2560" t="s">
        <v>16</v>
      </c>
      <c r="F2560" t="s">
        <v>17</v>
      </c>
      <c r="G2560" t="str">
        <f>"03"</f>
        <v>03</v>
      </c>
      <c r="H2560" t="str">
        <f>"3  "</f>
        <v xml:space="preserve">3  </v>
      </c>
      <c r="I2560" t="str">
        <f>"2019/09/04"</f>
        <v>2019/09/04</v>
      </c>
      <c r="J2560" t="str">
        <f>"110"</f>
        <v>110</v>
      </c>
      <c r="K2560" t="str">
        <f>"20210416"</f>
        <v>20210416</v>
      </c>
      <c r="L2560" t="s">
        <v>18</v>
      </c>
      <c r="M2560" t="str">
        <f>"20190904"</f>
        <v>20190904</v>
      </c>
    </row>
    <row r="2561" spans="1:13" x14ac:dyDescent="0.25">
      <c r="A2561" t="str">
        <f>"00559589"</f>
        <v>00559589</v>
      </c>
      <c r="B2561" t="s">
        <v>3475</v>
      </c>
      <c r="C2561" t="s">
        <v>2000</v>
      </c>
      <c r="D2561" t="s">
        <v>25</v>
      </c>
      <c r="E2561" t="s">
        <v>26</v>
      </c>
      <c r="F2561" t="s">
        <v>17</v>
      </c>
      <c r="G2561" t="str">
        <f>"03"</f>
        <v>03</v>
      </c>
      <c r="H2561" t="str">
        <f>"0  "</f>
        <v xml:space="preserve">0  </v>
      </c>
      <c r="I2561" t="str">
        <f>"2020/09/21"</f>
        <v>2020/09/21</v>
      </c>
      <c r="J2561" t="str">
        <f>"410"</f>
        <v>410</v>
      </c>
      <c r="K2561" t="s">
        <v>18</v>
      </c>
      <c r="L2561" t="s">
        <v>18</v>
      </c>
      <c r="M2561" t="s">
        <v>18</v>
      </c>
    </row>
    <row r="2562" spans="1:13" x14ac:dyDescent="0.25">
      <c r="A2562" t="str">
        <f>"00901103"</f>
        <v>00901103</v>
      </c>
      <c r="B2562" t="s">
        <v>3479</v>
      </c>
      <c r="C2562" t="s">
        <v>117</v>
      </c>
      <c r="D2562" t="s">
        <v>97</v>
      </c>
      <c r="E2562" t="s">
        <v>16</v>
      </c>
      <c r="F2562" t="s">
        <v>17</v>
      </c>
      <c r="G2562" t="str">
        <f>"03"</f>
        <v>03</v>
      </c>
      <c r="H2562" t="str">
        <f>"3  "</f>
        <v xml:space="preserve">3  </v>
      </c>
      <c r="I2562" t="str">
        <f>"2020/01/15"</f>
        <v>2020/01/15</v>
      </c>
      <c r="J2562" t="str">
        <f>"110"</f>
        <v>110</v>
      </c>
      <c r="K2562" t="str">
        <f>"20430628"</f>
        <v>20430628</v>
      </c>
      <c r="L2562" t="s">
        <v>18</v>
      </c>
      <c r="M2562" t="str">
        <f>"20190227"</f>
        <v>20190227</v>
      </c>
    </row>
    <row r="2563" spans="1:13" x14ac:dyDescent="0.25">
      <c r="A2563" t="str">
        <f>"00320940"</f>
        <v>00320940</v>
      </c>
      <c r="B2563" t="s">
        <v>3487</v>
      </c>
      <c r="C2563" t="s">
        <v>169</v>
      </c>
      <c r="D2563" t="s">
        <v>45</v>
      </c>
      <c r="E2563" t="s">
        <v>16</v>
      </c>
      <c r="F2563" t="s">
        <v>17</v>
      </c>
      <c r="G2563" t="str">
        <f>"03"</f>
        <v>03</v>
      </c>
      <c r="H2563" t="str">
        <f>"0  "</f>
        <v xml:space="preserve">0  </v>
      </c>
      <c r="I2563" t="str">
        <f>"2020/06/26"</f>
        <v>2020/06/26</v>
      </c>
      <c r="J2563" t="str">
        <f>"410"</f>
        <v>410</v>
      </c>
      <c r="K2563" t="s">
        <v>18</v>
      </c>
      <c r="L2563" t="s">
        <v>18</v>
      </c>
      <c r="M2563" t="s">
        <v>18</v>
      </c>
    </row>
    <row r="2564" spans="1:13" x14ac:dyDescent="0.25">
      <c r="A2564" t="str">
        <f>"00258693"</f>
        <v>00258693</v>
      </c>
      <c r="B2564" t="s">
        <v>3488</v>
      </c>
      <c r="C2564" t="s">
        <v>72</v>
      </c>
      <c r="D2564" t="s">
        <v>25</v>
      </c>
      <c r="E2564" t="s">
        <v>26</v>
      </c>
      <c r="F2564" t="s">
        <v>17</v>
      </c>
      <c r="G2564" t="str">
        <f>"03"</f>
        <v>03</v>
      </c>
      <c r="H2564" t="str">
        <f>"3  "</f>
        <v xml:space="preserve">3  </v>
      </c>
      <c r="I2564" t="str">
        <f>"2000/03/08"</f>
        <v>2000/03/08</v>
      </c>
      <c r="J2564" t="str">
        <f>"510"</f>
        <v>510</v>
      </c>
      <c r="K2564" t="str">
        <f>"20220506"</f>
        <v>20220506</v>
      </c>
      <c r="L2564" t="s">
        <v>18</v>
      </c>
      <c r="M2564" t="str">
        <f>"19971024"</f>
        <v>19971024</v>
      </c>
    </row>
    <row r="2565" spans="1:13" x14ac:dyDescent="0.25">
      <c r="A2565" t="str">
        <f>"00446435"</f>
        <v>00446435</v>
      </c>
      <c r="B2565" t="s">
        <v>3506</v>
      </c>
      <c r="C2565" t="s">
        <v>772</v>
      </c>
      <c r="D2565" t="s">
        <v>142</v>
      </c>
      <c r="E2565" t="s">
        <v>26</v>
      </c>
      <c r="F2565" t="s">
        <v>17</v>
      </c>
      <c r="G2565" t="str">
        <f>"03"</f>
        <v>03</v>
      </c>
      <c r="H2565" t="str">
        <f>"3  "</f>
        <v xml:space="preserve">3  </v>
      </c>
      <c r="I2565" t="str">
        <f>"2019/11/27"</f>
        <v>2019/11/27</v>
      </c>
      <c r="J2565" t="str">
        <f>"110"</f>
        <v>110</v>
      </c>
      <c r="K2565" t="str">
        <f>"20250331"</f>
        <v>20250331</v>
      </c>
      <c r="L2565" t="s">
        <v>18</v>
      </c>
      <c r="M2565" t="str">
        <f>"20191106"</f>
        <v>20191106</v>
      </c>
    </row>
    <row r="2566" spans="1:13" x14ac:dyDescent="0.25">
      <c r="A2566" t="str">
        <f>"00232601"</f>
        <v>00232601</v>
      </c>
      <c r="B2566" t="s">
        <v>3507</v>
      </c>
      <c r="C2566" t="s">
        <v>96</v>
      </c>
      <c r="D2566" t="s">
        <v>45</v>
      </c>
      <c r="E2566" t="s">
        <v>26</v>
      </c>
      <c r="F2566" t="s">
        <v>17</v>
      </c>
      <c r="G2566" t="str">
        <f>"03"</f>
        <v>03</v>
      </c>
      <c r="H2566" t="str">
        <f>"7  "</f>
        <v xml:space="preserve">7  </v>
      </c>
      <c r="I2566" t="str">
        <f>"2011/11/16"</f>
        <v>2011/11/16</v>
      </c>
      <c r="J2566" t="str">
        <f>"502"</f>
        <v>502</v>
      </c>
      <c r="K2566" t="s">
        <v>18</v>
      </c>
      <c r="L2566" t="s">
        <v>18</v>
      </c>
      <c r="M2566" t="str">
        <f>"19880610"</f>
        <v>19880610</v>
      </c>
    </row>
    <row r="2567" spans="1:13" x14ac:dyDescent="0.25">
      <c r="A2567" t="str">
        <f>"00525033"</f>
        <v>00525033</v>
      </c>
      <c r="B2567" t="s">
        <v>3511</v>
      </c>
      <c r="C2567" t="s">
        <v>348</v>
      </c>
      <c r="D2567" t="s">
        <v>45</v>
      </c>
      <c r="E2567" t="s">
        <v>16</v>
      </c>
      <c r="F2567" t="s">
        <v>17</v>
      </c>
      <c r="G2567" t="str">
        <f>"03"</f>
        <v>03</v>
      </c>
      <c r="H2567" t="str">
        <f>"3  "</f>
        <v xml:space="preserve">3  </v>
      </c>
      <c r="I2567" t="str">
        <f>"2013/03/20"</f>
        <v>2013/03/20</v>
      </c>
      <c r="J2567" t="str">
        <f>"110"</f>
        <v>110</v>
      </c>
      <c r="K2567" t="str">
        <f>"20231019"</f>
        <v>20231019</v>
      </c>
      <c r="L2567" t="s">
        <v>18</v>
      </c>
      <c r="M2567" t="str">
        <f>"20120822"</f>
        <v>20120822</v>
      </c>
    </row>
    <row r="2568" spans="1:13" x14ac:dyDescent="0.25">
      <c r="A2568" t="str">
        <f>"00657993"</f>
        <v>00657993</v>
      </c>
      <c r="B2568" t="s">
        <v>3511</v>
      </c>
      <c r="C2568" t="s">
        <v>74</v>
      </c>
      <c r="D2568" t="s">
        <v>25</v>
      </c>
      <c r="E2568" t="s">
        <v>16</v>
      </c>
      <c r="F2568" t="s">
        <v>17</v>
      </c>
      <c r="G2568" t="str">
        <f>"03"</f>
        <v>03</v>
      </c>
      <c r="H2568" t="str">
        <f>"0  "</f>
        <v xml:space="preserve">0  </v>
      </c>
      <c r="I2568" t="str">
        <f>"2020/09/14"</f>
        <v>2020/09/14</v>
      </c>
      <c r="J2568" t="str">
        <f>"410"</f>
        <v>410</v>
      </c>
      <c r="K2568" t="s">
        <v>18</v>
      </c>
      <c r="L2568" t="s">
        <v>18</v>
      </c>
      <c r="M2568" t="s">
        <v>18</v>
      </c>
    </row>
    <row r="2569" spans="1:13" x14ac:dyDescent="0.25">
      <c r="A2569" t="str">
        <f>"00616769"</f>
        <v>00616769</v>
      </c>
      <c r="B2569" t="s">
        <v>3516</v>
      </c>
      <c r="C2569" t="s">
        <v>96</v>
      </c>
      <c r="D2569" t="s">
        <v>51</v>
      </c>
      <c r="E2569" t="s">
        <v>16</v>
      </c>
      <c r="F2569" t="s">
        <v>17</v>
      </c>
      <c r="G2569" t="str">
        <f>"03"</f>
        <v>03</v>
      </c>
      <c r="H2569" t="str">
        <f>"0  "</f>
        <v xml:space="preserve">0  </v>
      </c>
      <c r="I2569" t="str">
        <f>"2020/08/20"</f>
        <v>2020/08/20</v>
      </c>
      <c r="J2569" t="str">
        <f>"410"</f>
        <v>410</v>
      </c>
      <c r="K2569" t="s">
        <v>18</v>
      </c>
      <c r="L2569" t="s">
        <v>18</v>
      </c>
      <c r="M2569" t="s">
        <v>18</v>
      </c>
    </row>
    <row r="2570" spans="1:13" x14ac:dyDescent="0.25">
      <c r="A2570" t="str">
        <f>"00307636"</f>
        <v>00307636</v>
      </c>
      <c r="B2570" t="s">
        <v>3520</v>
      </c>
      <c r="C2570" t="s">
        <v>385</v>
      </c>
      <c r="D2570" t="s">
        <v>51</v>
      </c>
      <c r="E2570" t="s">
        <v>26</v>
      </c>
      <c r="F2570" t="s">
        <v>17</v>
      </c>
      <c r="G2570" t="str">
        <f>"03"</f>
        <v>03</v>
      </c>
      <c r="H2570" t="str">
        <f>"3  "</f>
        <v xml:space="preserve">3  </v>
      </c>
      <c r="I2570" t="str">
        <f>"2008/11/17"</f>
        <v>2008/11/17</v>
      </c>
      <c r="J2570" t="str">
        <f>"110"</f>
        <v>110</v>
      </c>
      <c r="K2570" t="str">
        <f>"20660517"</f>
        <v>20660517</v>
      </c>
      <c r="L2570" t="s">
        <v>18</v>
      </c>
      <c r="M2570" t="str">
        <f>"20080906"</f>
        <v>20080906</v>
      </c>
    </row>
    <row r="2571" spans="1:13" x14ac:dyDescent="0.25">
      <c r="A2571" t="str">
        <f>"00653920"</f>
        <v>00653920</v>
      </c>
      <c r="B2571" t="s">
        <v>3520</v>
      </c>
      <c r="C2571" t="s">
        <v>878</v>
      </c>
      <c r="D2571" t="s">
        <v>25</v>
      </c>
      <c r="E2571" t="s">
        <v>26</v>
      </c>
      <c r="F2571" t="s">
        <v>17</v>
      </c>
      <c r="G2571" t="str">
        <f>"03"</f>
        <v>03</v>
      </c>
      <c r="H2571" t="str">
        <f>"0  "</f>
        <v xml:space="preserve">0  </v>
      </c>
      <c r="I2571" t="str">
        <f>"2020/08/27"</f>
        <v>2020/08/27</v>
      </c>
      <c r="J2571" t="str">
        <f>"410"</f>
        <v>410</v>
      </c>
      <c r="K2571" t="s">
        <v>18</v>
      </c>
      <c r="L2571" t="s">
        <v>18</v>
      </c>
      <c r="M2571" t="s">
        <v>18</v>
      </c>
    </row>
    <row r="2572" spans="1:13" x14ac:dyDescent="0.25">
      <c r="A2572" t="str">
        <f>"00099332"</f>
        <v>00099332</v>
      </c>
      <c r="B2572" t="s">
        <v>3521</v>
      </c>
      <c r="C2572" t="s">
        <v>3522</v>
      </c>
      <c r="D2572" t="s">
        <v>31</v>
      </c>
      <c r="E2572" t="s">
        <v>26</v>
      </c>
      <c r="F2572" t="s">
        <v>17</v>
      </c>
      <c r="G2572" t="str">
        <f>"03"</f>
        <v>03</v>
      </c>
      <c r="H2572" t="str">
        <f>"3  "</f>
        <v xml:space="preserve">3  </v>
      </c>
      <c r="I2572" t="str">
        <f>"2020/09/03"</f>
        <v>2020/09/03</v>
      </c>
      <c r="J2572" t="str">
        <f>"502"</f>
        <v>502</v>
      </c>
      <c r="K2572" t="str">
        <f>"20240112"</f>
        <v>20240112</v>
      </c>
      <c r="L2572" t="s">
        <v>18</v>
      </c>
      <c r="M2572" t="str">
        <f>"20001121"</f>
        <v>20001121</v>
      </c>
    </row>
    <row r="2573" spans="1:13" x14ac:dyDescent="0.25">
      <c r="A2573" t="str">
        <f>"00574278"</f>
        <v>00574278</v>
      </c>
      <c r="B2573" t="s">
        <v>3527</v>
      </c>
      <c r="C2573" t="s">
        <v>2114</v>
      </c>
      <c r="D2573" t="s">
        <v>15</v>
      </c>
      <c r="E2573" t="s">
        <v>26</v>
      </c>
      <c r="F2573" t="s">
        <v>17</v>
      </c>
      <c r="G2573" t="str">
        <f>"03"</f>
        <v>03</v>
      </c>
      <c r="H2573" t="str">
        <f>"3  "</f>
        <v xml:space="preserve">3  </v>
      </c>
      <c r="I2573" t="str">
        <f>"2019/09/20"</f>
        <v>2019/09/20</v>
      </c>
      <c r="J2573" t="str">
        <f>"510"</f>
        <v>510</v>
      </c>
      <c r="K2573" t="str">
        <f>"20230217"</f>
        <v>20230217</v>
      </c>
      <c r="L2573" t="s">
        <v>18</v>
      </c>
      <c r="M2573" t="str">
        <f>"20180824"</f>
        <v>20180824</v>
      </c>
    </row>
    <row r="2574" spans="1:13" x14ac:dyDescent="0.25">
      <c r="A2574" t="str">
        <f>"00405946"</f>
        <v>00405946</v>
      </c>
      <c r="B2574" t="s">
        <v>3528</v>
      </c>
      <c r="C2574" t="s">
        <v>249</v>
      </c>
      <c r="D2574" t="s">
        <v>15</v>
      </c>
      <c r="E2574" t="s">
        <v>16</v>
      </c>
      <c r="F2574" t="s">
        <v>17</v>
      </c>
      <c r="G2574" t="str">
        <f>"03"</f>
        <v>03</v>
      </c>
      <c r="H2574" t="str">
        <f>"3  "</f>
        <v xml:space="preserve">3  </v>
      </c>
      <c r="I2574" t="str">
        <f>"2020/07/24"</f>
        <v>2020/07/24</v>
      </c>
      <c r="J2574" t="str">
        <f>"502"</f>
        <v>502</v>
      </c>
      <c r="K2574" t="str">
        <f>"20220413"</f>
        <v>20220413</v>
      </c>
      <c r="L2574" t="s">
        <v>18</v>
      </c>
      <c r="M2574" t="str">
        <f>"20191203"</f>
        <v>20191203</v>
      </c>
    </row>
    <row r="2575" spans="1:13" x14ac:dyDescent="0.25">
      <c r="A2575" t="str">
        <f>"00501799"</f>
        <v>00501799</v>
      </c>
      <c r="B2575" t="s">
        <v>3532</v>
      </c>
      <c r="C2575" t="s">
        <v>96</v>
      </c>
      <c r="D2575" t="s">
        <v>16</v>
      </c>
      <c r="E2575" t="s">
        <v>16</v>
      </c>
      <c r="F2575" t="s">
        <v>17</v>
      </c>
      <c r="G2575" t="str">
        <f>"03"</f>
        <v>03</v>
      </c>
      <c r="H2575" t="str">
        <f>"1  "</f>
        <v xml:space="preserve">1  </v>
      </c>
      <c r="I2575" t="str">
        <f>"2020/09/04"</f>
        <v>2020/09/04</v>
      </c>
      <c r="J2575" t="str">
        <f>"512"</f>
        <v>512</v>
      </c>
      <c r="K2575" t="str">
        <f>"20201012"</f>
        <v>20201012</v>
      </c>
      <c r="L2575" t="s">
        <v>18</v>
      </c>
      <c r="M2575" t="str">
        <f>"20200721"</f>
        <v>20200721</v>
      </c>
    </row>
    <row r="2576" spans="1:13" x14ac:dyDescent="0.25">
      <c r="A2576" t="str">
        <f>"00303183"</f>
        <v>00303183</v>
      </c>
      <c r="B2576" t="s">
        <v>3536</v>
      </c>
      <c r="C2576" t="s">
        <v>3537</v>
      </c>
      <c r="D2576" t="s">
        <v>45</v>
      </c>
      <c r="E2576" t="s">
        <v>26</v>
      </c>
      <c r="F2576" t="s">
        <v>17</v>
      </c>
      <c r="G2576" t="str">
        <f>"03"</f>
        <v>03</v>
      </c>
      <c r="H2576" t="str">
        <f>"3  "</f>
        <v xml:space="preserve">3  </v>
      </c>
      <c r="I2576" t="str">
        <f>"1995/02/17"</f>
        <v>1995/02/17</v>
      </c>
      <c r="J2576" t="str">
        <f>"110"</f>
        <v>110</v>
      </c>
      <c r="K2576" t="str">
        <f>"20230717"</f>
        <v>20230717</v>
      </c>
      <c r="L2576" t="s">
        <v>18</v>
      </c>
      <c r="M2576" t="str">
        <f>"19940815"</f>
        <v>19940815</v>
      </c>
    </row>
    <row r="2577" spans="1:13" x14ac:dyDescent="0.25">
      <c r="A2577" t="str">
        <f>"00879322"</f>
        <v>00879322</v>
      </c>
      <c r="B2577" t="s">
        <v>3539</v>
      </c>
      <c r="C2577" t="s">
        <v>358</v>
      </c>
      <c r="D2577" t="s">
        <v>215</v>
      </c>
      <c r="E2577" t="s">
        <v>16</v>
      </c>
      <c r="F2577" t="s">
        <v>17</v>
      </c>
      <c r="G2577" t="str">
        <f>"03"</f>
        <v>03</v>
      </c>
      <c r="H2577" t="str">
        <f>"1  "</f>
        <v xml:space="preserve">1  </v>
      </c>
      <c r="I2577" t="str">
        <f>"2020/05/27"</f>
        <v>2020/05/27</v>
      </c>
      <c r="J2577" t="str">
        <f>"120"</f>
        <v>120</v>
      </c>
      <c r="K2577" t="str">
        <f>"20201205"</f>
        <v>20201205</v>
      </c>
      <c r="L2577" t="s">
        <v>18</v>
      </c>
      <c r="M2577" t="str">
        <f>"20200521"</f>
        <v>20200521</v>
      </c>
    </row>
    <row r="2578" spans="1:13" x14ac:dyDescent="0.25">
      <c r="A2578" t="str">
        <f>"00359458"</f>
        <v>00359458</v>
      </c>
      <c r="B2578" t="s">
        <v>3541</v>
      </c>
      <c r="C2578" t="s">
        <v>408</v>
      </c>
      <c r="D2578" t="s">
        <v>26</v>
      </c>
      <c r="E2578" t="s">
        <v>26</v>
      </c>
      <c r="F2578" t="s">
        <v>17</v>
      </c>
      <c r="G2578" t="str">
        <f>"03"</f>
        <v>03</v>
      </c>
      <c r="H2578" t="str">
        <f>"3  "</f>
        <v xml:space="preserve">3  </v>
      </c>
      <c r="I2578" t="str">
        <f>"2015/05/08"</f>
        <v>2015/05/08</v>
      </c>
      <c r="J2578" t="str">
        <f>"502"</f>
        <v>502</v>
      </c>
      <c r="K2578" t="str">
        <f>"20230312"</f>
        <v>20230312</v>
      </c>
      <c r="L2578" t="s">
        <v>18</v>
      </c>
      <c r="M2578" t="str">
        <f>"20100413"</f>
        <v>20100413</v>
      </c>
    </row>
    <row r="2579" spans="1:13" x14ac:dyDescent="0.25">
      <c r="A2579" t="str">
        <f>"00278075"</f>
        <v>00278075</v>
      </c>
      <c r="B2579" t="s">
        <v>3542</v>
      </c>
      <c r="C2579" t="s">
        <v>1658</v>
      </c>
      <c r="D2579" t="s">
        <v>26</v>
      </c>
      <c r="E2579" t="s">
        <v>26</v>
      </c>
      <c r="F2579" t="s">
        <v>17</v>
      </c>
      <c r="G2579" t="str">
        <f>"03"</f>
        <v>03</v>
      </c>
      <c r="H2579" t="str">
        <f>"3  "</f>
        <v xml:space="preserve">3  </v>
      </c>
      <c r="I2579" t="str">
        <f>"2020/08/26"</f>
        <v>2020/08/26</v>
      </c>
      <c r="J2579" t="str">
        <f>"502"</f>
        <v>502</v>
      </c>
      <c r="K2579" t="str">
        <f>"20331002"</f>
        <v>20331002</v>
      </c>
      <c r="L2579" t="s">
        <v>18</v>
      </c>
      <c r="M2579" t="str">
        <f>"20080430"</f>
        <v>20080430</v>
      </c>
    </row>
    <row r="2580" spans="1:13" x14ac:dyDescent="0.25">
      <c r="A2580" t="str">
        <f>"00300371"</f>
        <v>00300371</v>
      </c>
      <c r="B2580" t="s">
        <v>3542</v>
      </c>
      <c r="C2580" t="s">
        <v>325</v>
      </c>
      <c r="D2580" t="s">
        <v>31</v>
      </c>
      <c r="E2580" t="s">
        <v>16</v>
      </c>
      <c r="F2580" t="s">
        <v>17</v>
      </c>
      <c r="G2580" t="str">
        <f>"03"</f>
        <v>03</v>
      </c>
      <c r="H2580" t="str">
        <f>"3  "</f>
        <v xml:space="preserve">3  </v>
      </c>
      <c r="I2580" t="str">
        <f>"2013/02/06"</f>
        <v>2013/02/06</v>
      </c>
      <c r="J2580" t="str">
        <f>"110"</f>
        <v>110</v>
      </c>
      <c r="K2580" t="str">
        <f>"20210216"</f>
        <v>20210216</v>
      </c>
      <c r="L2580" t="s">
        <v>18</v>
      </c>
      <c r="M2580" t="str">
        <f>"20121127"</f>
        <v>20121127</v>
      </c>
    </row>
    <row r="2581" spans="1:13" x14ac:dyDescent="0.25">
      <c r="A2581" t="str">
        <f>"00559591"</f>
        <v>00559591</v>
      </c>
      <c r="B2581" t="s">
        <v>3545</v>
      </c>
      <c r="C2581" t="s">
        <v>3546</v>
      </c>
      <c r="D2581" t="s">
        <v>15</v>
      </c>
      <c r="E2581" t="s">
        <v>26</v>
      </c>
      <c r="F2581" t="s">
        <v>17</v>
      </c>
      <c r="G2581" t="str">
        <f>"03"</f>
        <v>03</v>
      </c>
      <c r="H2581" t="str">
        <f>"3  "</f>
        <v xml:space="preserve">3  </v>
      </c>
      <c r="I2581" t="str">
        <f>"2018/04/05"</f>
        <v>2018/04/05</v>
      </c>
      <c r="J2581" t="str">
        <f>"110"</f>
        <v>110</v>
      </c>
      <c r="K2581" t="str">
        <f>"20220320"</f>
        <v>20220320</v>
      </c>
      <c r="L2581" t="s">
        <v>18</v>
      </c>
      <c r="M2581" t="str">
        <f>"20170907"</f>
        <v>20170907</v>
      </c>
    </row>
    <row r="2582" spans="1:13" x14ac:dyDescent="0.25">
      <c r="A2582" t="str">
        <f>"00645551"</f>
        <v>00645551</v>
      </c>
      <c r="B2582" t="s">
        <v>3553</v>
      </c>
      <c r="C2582" t="s">
        <v>140</v>
      </c>
      <c r="D2582" t="s">
        <v>25</v>
      </c>
      <c r="E2582" t="s">
        <v>26</v>
      </c>
      <c r="F2582" t="s">
        <v>17</v>
      </c>
      <c r="G2582" t="str">
        <f>"03"</f>
        <v>03</v>
      </c>
      <c r="H2582" t="str">
        <f>"3  "</f>
        <v xml:space="preserve">3  </v>
      </c>
      <c r="I2582" t="str">
        <f>"2020/03/19"</f>
        <v>2020/03/19</v>
      </c>
      <c r="J2582" t="str">
        <f>"502"</f>
        <v>502</v>
      </c>
      <c r="K2582" t="str">
        <f>"20221224"</f>
        <v>20221224</v>
      </c>
      <c r="L2582" t="s">
        <v>18</v>
      </c>
      <c r="M2582" t="str">
        <f>"20170825"</f>
        <v>20170825</v>
      </c>
    </row>
    <row r="2583" spans="1:13" x14ac:dyDescent="0.25">
      <c r="A2583" t="str">
        <f>"00795035"</f>
        <v>00795035</v>
      </c>
      <c r="B2583" t="s">
        <v>3553</v>
      </c>
      <c r="C2583" t="s">
        <v>1007</v>
      </c>
      <c r="D2583" t="s">
        <v>25</v>
      </c>
      <c r="E2583" t="s">
        <v>26</v>
      </c>
      <c r="F2583" t="s">
        <v>17</v>
      </c>
      <c r="G2583" t="str">
        <f>"03"</f>
        <v>03</v>
      </c>
      <c r="H2583" t="str">
        <f>"3  "</f>
        <v xml:space="preserve">3  </v>
      </c>
      <c r="I2583" t="str">
        <f>"2019/11/13"</f>
        <v>2019/11/13</v>
      </c>
      <c r="J2583" t="str">
        <f>"110"</f>
        <v>110</v>
      </c>
      <c r="K2583" t="str">
        <f>"20300127"</f>
        <v>20300127</v>
      </c>
      <c r="L2583" t="s">
        <v>18</v>
      </c>
      <c r="M2583" t="str">
        <f>"20190403"</f>
        <v>20190403</v>
      </c>
    </row>
    <row r="2584" spans="1:13" x14ac:dyDescent="0.25">
      <c r="A2584" t="str">
        <f>"00213886"</f>
        <v>00213886</v>
      </c>
      <c r="B2584" t="s">
        <v>3556</v>
      </c>
      <c r="C2584" t="s">
        <v>471</v>
      </c>
      <c r="D2584" t="s">
        <v>61</v>
      </c>
      <c r="E2584" t="s">
        <v>16</v>
      </c>
      <c r="F2584" t="s">
        <v>17</v>
      </c>
      <c r="G2584" t="str">
        <f>"03"</f>
        <v>03</v>
      </c>
      <c r="H2584" t="str">
        <f>"3  "</f>
        <v xml:space="preserve">3  </v>
      </c>
      <c r="I2584" t="str">
        <f>"2020/07/24"</f>
        <v>2020/07/24</v>
      </c>
      <c r="J2584" t="str">
        <f>"502"</f>
        <v>502</v>
      </c>
      <c r="K2584" t="str">
        <f>"20451211"</f>
        <v>20451211</v>
      </c>
      <c r="L2584" t="s">
        <v>18</v>
      </c>
      <c r="M2584" t="str">
        <f>"20141213"</f>
        <v>20141213</v>
      </c>
    </row>
    <row r="2585" spans="1:13" x14ac:dyDescent="0.25">
      <c r="A2585" t="str">
        <f>"00216445"</f>
        <v>00216445</v>
      </c>
      <c r="B2585" t="s">
        <v>3558</v>
      </c>
      <c r="C2585" t="s">
        <v>122</v>
      </c>
      <c r="D2585" t="s">
        <v>31</v>
      </c>
      <c r="E2585" t="s">
        <v>16</v>
      </c>
      <c r="F2585" t="s">
        <v>17</v>
      </c>
      <c r="G2585" t="str">
        <f>"03"</f>
        <v>03</v>
      </c>
      <c r="H2585" t="str">
        <f>"7  "</f>
        <v xml:space="preserve">7  </v>
      </c>
      <c r="I2585" t="str">
        <f>"1991/02/19"</f>
        <v>1991/02/19</v>
      </c>
      <c r="J2585" t="str">
        <f>"510"</f>
        <v>510</v>
      </c>
      <c r="K2585" t="s">
        <v>18</v>
      </c>
      <c r="L2585" t="str">
        <f>"20070501"</f>
        <v>20070501</v>
      </c>
      <c r="M2585" t="str">
        <f>"19860430"</f>
        <v>19860430</v>
      </c>
    </row>
    <row r="2586" spans="1:13" x14ac:dyDescent="0.25">
      <c r="A2586" t="str">
        <f>"00687986"</f>
        <v>00687986</v>
      </c>
      <c r="B2586" t="s">
        <v>3558</v>
      </c>
      <c r="C2586" t="s">
        <v>833</v>
      </c>
      <c r="D2586" t="s">
        <v>25</v>
      </c>
      <c r="E2586" t="s">
        <v>16</v>
      </c>
      <c r="F2586" t="s">
        <v>17</v>
      </c>
      <c r="G2586" t="str">
        <f>"03"</f>
        <v>03</v>
      </c>
      <c r="H2586" t="str">
        <f>"6  "</f>
        <v xml:space="preserve">6  </v>
      </c>
      <c r="I2586" t="str">
        <f>"2011/12/19"</f>
        <v>2011/12/19</v>
      </c>
      <c r="J2586" t="str">
        <f>"110"</f>
        <v>110</v>
      </c>
      <c r="K2586" t="str">
        <f>"20300929"</f>
        <v>20300929</v>
      </c>
      <c r="L2586" t="s">
        <v>18</v>
      </c>
      <c r="M2586" t="str">
        <f>"20111126"</f>
        <v>20111126</v>
      </c>
    </row>
    <row r="2587" spans="1:13" x14ac:dyDescent="0.25">
      <c r="A2587" t="str">
        <f>"00576058"</f>
        <v>00576058</v>
      </c>
      <c r="B2587" t="s">
        <v>3564</v>
      </c>
      <c r="C2587" t="s">
        <v>136</v>
      </c>
      <c r="D2587" t="s">
        <v>40</v>
      </c>
      <c r="E2587" t="s">
        <v>16</v>
      </c>
      <c r="F2587" t="s">
        <v>17</v>
      </c>
      <c r="G2587" t="str">
        <f>"03"</f>
        <v>03</v>
      </c>
      <c r="H2587" t="str">
        <f>"1  "</f>
        <v xml:space="preserve">1  </v>
      </c>
      <c r="I2587" t="str">
        <f>"2020/06/16"</f>
        <v>2020/06/16</v>
      </c>
      <c r="J2587" t="str">
        <f>"120"</f>
        <v>120</v>
      </c>
      <c r="K2587" t="str">
        <f>"20201122"</f>
        <v>20201122</v>
      </c>
      <c r="L2587" t="s">
        <v>18</v>
      </c>
      <c r="M2587" t="str">
        <f>"20200605"</f>
        <v>20200605</v>
      </c>
    </row>
    <row r="2588" spans="1:13" x14ac:dyDescent="0.25">
      <c r="A2588" t="str">
        <f>"00447902"</f>
        <v>00447902</v>
      </c>
      <c r="B2588" t="s">
        <v>3566</v>
      </c>
      <c r="C2588" t="s">
        <v>74</v>
      </c>
      <c r="D2588" t="s">
        <v>97</v>
      </c>
      <c r="E2588" t="s">
        <v>16</v>
      </c>
      <c r="F2588" t="s">
        <v>17</v>
      </c>
      <c r="G2588" t="str">
        <f>"03"</f>
        <v>03</v>
      </c>
      <c r="H2588" t="str">
        <f>"3  "</f>
        <v xml:space="preserve">3  </v>
      </c>
      <c r="I2588" t="str">
        <f>"2019/12/04"</f>
        <v>2019/12/04</v>
      </c>
      <c r="J2588" t="str">
        <f>"110"</f>
        <v>110</v>
      </c>
      <c r="K2588" t="str">
        <f>"20420528"</f>
        <v>20420528</v>
      </c>
      <c r="L2588" t="s">
        <v>18</v>
      </c>
      <c r="M2588" t="str">
        <f>"20191109"</f>
        <v>20191109</v>
      </c>
    </row>
    <row r="2589" spans="1:13" x14ac:dyDescent="0.25">
      <c r="A2589" t="str">
        <f>"00285119"</f>
        <v>00285119</v>
      </c>
      <c r="B2589" t="s">
        <v>3578</v>
      </c>
      <c r="C2589" t="s">
        <v>520</v>
      </c>
      <c r="D2589" t="s">
        <v>45</v>
      </c>
      <c r="E2589" t="s">
        <v>16</v>
      </c>
      <c r="F2589" t="s">
        <v>17</v>
      </c>
      <c r="G2589" t="str">
        <f>"03"</f>
        <v>03</v>
      </c>
      <c r="H2589" t="str">
        <f>"7  "</f>
        <v xml:space="preserve">7  </v>
      </c>
      <c r="I2589" t="str">
        <f>"2019/10/09"</f>
        <v>2019/10/09</v>
      </c>
      <c r="J2589" t="str">
        <f>"502"</f>
        <v>502</v>
      </c>
      <c r="K2589" t="s">
        <v>18</v>
      </c>
      <c r="L2589" t="s">
        <v>18</v>
      </c>
      <c r="M2589" t="str">
        <f>"20060525"</f>
        <v>20060525</v>
      </c>
    </row>
    <row r="2590" spans="1:13" x14ac:dyDescent="0.25">
      <c r="A2590" t="str">
        <f>"00380464"</f>
        <v>00380464</v>
      </c>
      <c r="B2590" t="s">
        <v>3585</v>
      </c>
      <c r="C2590" t="s">
        <v>358</v>
      </c>
      <c r="D2590" t="s">
        <v>61</v>
      </c>
      <c r="E2590" t="s">
        <v>26</v>
      </c>
      <c r="F2590" t="s">
        <v>17</v>
      </c>
      <c r="G2590" t="str">
        <f>"03"</f>
        <v>03</v>
      </c>
      <c r="H2590" t="str">
        <f>"3  "</f>
        <v xml:space="preserve">3  </v>
      </c>
      <c r="I2590" t="str">
        <f>"2015/11/20"</f>
        <v>2015/11/20</v>
      </c>
      <c r="J2590" t="str">
        <f>"510"</f>
        <v>510</v>
      </c>
      <c r="K2590" t="str">
        <f>"20230630"</f>
        <v>20230630</v>
      </c>
      <c r="L2590" t="s">
        <v>18</v>
      </c>
      <c r="M2590" t="str">
        <f>"20141024"</f>
        <v>20141024</v>
      </c>
    </row>
    <row r="2591" spans="1:13" x14ac:dyDescent="0.25">
      <c r="A2591" t="str">
        <f>"00264304"</f>
        <v>00264304</v>
      </c>
      <c r="B2591" t="s">
        <v>3592</v>
      </c>
      <c r="C2591" t="s">
        <v>169</v>
      </c>
      <c r="D2591" t="s">
        <v>45</v>
      </c>
      <c r="E2591" t="s">
        <v>16</v>
      </c>
      <c r="F2591" t="s">
        <v>17</v>
      </c>
      <c r="G2591" t="str">
        <f>"03"</f>
        <v>03</v>
      </c>
      <c r="H2591" t="str">
        <f>"3  "</f>
        <v xml:space="preserve">3  </v>
      </c>
      <c r="I2591" t="str">
        <f>"2020/03/14"</f>
        <v>2020/03/14</v>
      </c>
      <c r="J2591" t="str">
        <f>"120"</f>
        <v>120</v>
      </c>
      <c r="K2591" t="str">
        <f>"20210923"</f>
        <v>20210923</v>
      </c>
      <c r="L2591" t="s">
        <v>18</v>
      </c>
      <c r="M2591" t="str">
        <f>"20200313"</f>
        <v>20200313</v>
      </c>
    </row>
    <row r="2592" spans="1:13" x14ac:dyDescent="0.25">
      <c r="A2592" t="str">
        <f>"00585483"</f>
        <v>00585483</v>
      </c>
      <c r="B2592" t="s">
        <v>3597</v>
      </c>
      <c r="C2592" t="s">
        <v>14</v>
      </c>
      <c r="D2592" t="s">
        <v>73</v>
      </c>
      <c r="E2592" t="s">
        <v>26</v>
      </c>
      <c r="F2592" t="s">
        <v>17</v>
      </c>
      <c r="G2592" t="str">
        <f>"03"</f>
        <v>03</v>
      </c>
      <c r="H2592" t="str">
        <f>"0  "</f>
        <v xml:space="preserve">0  </v>
      </c>
      <c r="I2592" t="str">
        <f>"2019/08/08"</f>
        <v>2019/08/08</v>
      </c>
      <c r="J2592" t="str">
        <f>"410"</f>
        <v>410</v>
      </c>
      <c r="K2592" t="s">
        <v>18</v>
      </c>
      <c r="L2592" t="s">
        <v>18</v>
      </c>
      <c r="M2592" t="s">
        <v>18</v>
      </c>
    </row>
    <row r="2593" spans="1:13" x14ac:dyDescent="0.25">
      <c r="A2593" t="str">
        <f>"00411432"</f>
        <v>00411432</v>
      </c>
      <c r="B2593" t="s">
        <v>3597</v>
      </c>
      <c r="C2593" t="s">
        <v>327</v>
      </c>
      <c r="D2593" t="s">
        <v>45</v>
      </c>
      <c r="E2593" t="s">
        <v>26</v>
      </c>
      <c r="F2593" t="s">
        <v>17</v>
      </c>
      <c r="G2593" t="str">
        <f>"03"</f>
        <v>03</v>
      </c>
      <c r="H2593" t="str">
        <f>"1  "</f>
        <v xml:space="preserve">1  </v>
      </c>
      <c r="I2593" t="str">
        <f>"2020/08/28"</f>
        <v>2020/08/28</v>
      </c>
      <c r="J2593" t="str">
        <f>"110"</f>
        <v>110</v>
      </c>
      <c r="K2593" t="str">
        <f>"20200926"</f>
        <v>20200926</v>
      </c>
      <c r="L2593" t="s">
        <v>18</v>
      </c>
      <c r="M2593" t="str">
        <f>"20200828"</f>
        <v>20200828</v>
      </c>
    </row>
    <row r="2594" spans="1:13" x14ac:dyDescent="0.25">
      <c r="A2594" t="str">
        <f>"00467464"</f>
        <v>00467464</v>
      </c>
      <c r="B2594" t="s">
        <v>3597</v>
      </c>
      <c r="C2594" t="s">
        <v>3605</v>
      </c>
      <c r="D2594" t="s">
        <v>61</v>
      </c>
      <c r="E2594" t="s">
        <v>26</v>
      </c>
      <c r="F2594" t="s">
        <v>17</v>
      </c>
      <c r="G2594" t="str">
        <f>"03"</f>
        <v>03</v>
      </c>
      <c r="H2594" t="str">
        <f>"0  "</f>
        <v xml:space="preserve">0  </v>
      </c>
      <c r="I2594" t="str">
        <f>"2020/03/30"</f>
        <v>2020/03/30</v>
      </c>
      <c r="J2594" t="str">
        <f>"410"</f>
        <v>410</v>
      </c>
      <c r="K2594" t="s">
        <v>18</v>
      </c>
      <c r="L2594" t="s">
        <v>18</v>
      </c>
      <c r="M2594" t="s">
        <v>18</v>
      </c>
    </row>
    <row r="2595" spans="1:13" x14ac:dyDescent="0.25">
      <c r="A2595" t="str">
        <f>"00223363"</f>
        <v>00223363</v>
      </c>
      <c r="B2595" t="s">
        <v>3597</v>
      </c>
      <c r="C2595" t="s">
        <v>3607</v>
      </c>
      <c r="D2595" t="s">
        <v>37</v>
      </c>
      <c r="E2595" t="s">
        <v>16</v>
      </c>
      <c r="F2595" t="s">
        <v>17</v>
      </c>
      <c r="G2595" t="str">
        <f>"03"</f>
        <v>03</v>
      </c>
      <c r="H2595" t="str">
        <f>"3  "</f>
        <v xml:space="preserve">3  </v>
      </c>
      <c r="I2595" t="str">
        <f>"2008/02/19"</f>
        <v>2008/02/19</v>
      </c>
      <c r="J2595" t="str">
        <f>"110"</f>
        <v>110</v>
      </c>
      <c r="K2595" t="str">
        <f>"21110829"</f>
        <v>21110829</v>
      </c>
      <c r="L2595" t="s">
        <v>18</v>
      </c>
      <c r="M2595" t="str">
        <f>"20071216"</f>
        <v>20071216</v>
      </c>
    </row>
    <row r="2596" spans="1:13" x14ac:dyDescent="0.25">
      <c r="A2596" t="str">
        <f>"00268235"</f>
        <v>00268235</v>
      </c>
      <c r="B2596" t="s">
        <v>3597</v>
      </c>
      <c r="C2596" t="s">
        <v>320</v>
      </c>
      <c r="D2596" t="s">
        <v>61</v>
      </c>
      <c r="E2596" t="s">
        <v>26</v>
      </c>
      <c r="F2596" t="s">
        <v>17</v>
      </c>
      <c r="G2596" t="str">
        <f>"03"</f>
        <v>03</v>
      </c>
      <c r="H2596" t="str">
        <f>"3  "</f>
        <v xml:space="preserve">3  </v>
      </c>
      <c r="I2596" t="str">
        <f>"2016/01/06"</f>
        <v>2016/01/06</v>
      </c>
      <c r="J2596" t="str">
        <f>"110"</f>
        <v>110</v>
      </c>
      <c r="K2596" t="str">
        <f>"20250404"</f>
        <v>20250404</v>
      </c>
      <c r="L2596" t="s">
        <v>18</v>
      </c>
      <c r="M2596" t="str">
        <f>"20151207"</f>
        <v>20151207</v>
      </c>
    </row>
    <row r="2597" spans="1:13" x14ac:dyDescent="0.25">
      <c r="A2597" t="str">
        <f>"00753418"</f>
        <v>00753418</v>
      </c>
      <c r="B2597" t="s">
        <v>3597</v>
      </c>
      <c r="C2597" t="s">
        <v>74</v>
      </c>
      <c r="D2597" t="s">
        <v>61</v>
      </c>
      <c r="E2597" t="s">
        <v>26</v>
      </c>
      <c r="F2597" t="s">
        <v>17</v>
      </c>
      <c r="G2597" t="str">
        <f>"03"</f>
        <v>03</v>
      </c>
      <c r="H2597" t="str">
        <f>"0  "</f>
        <v xml:space="preserve">0  </v>
      </c>
      <c r="I2597" t="str">
        <f>"2020/08/25"</f>
        <v>2020/08/25</v>
      </c>
      <c r="J2597" t="str">
        <f>"410"</f>
        <v>410</v>
      </c>
      <c r="K2597" t="s">
        <v>18</v>
      </c>
      <c r="L2597" t="s">
        <v>18</v>
      </c>
      <c r="M2597" t="s">
        <v>18</v>
      </c>
    </row>
    <row r="2598" spans="1:13" x14ac:dyDescent="0.25">
      <c r="A2598" t="str">
        <f>"00277641"</f>
        <v>00277641</v>
      </c>
      <c r="B2598" t="s">
        <v>3597</v>
      </c>
      <c r="C2598" t="s">
        <v>1296</v>
      </c>
      <c r="D2598" t="s">
        <v>21</v>
      </c>
      <c r="E2598" t="s">
        <v>16</v>
      </c>
      <c r="F2598" t="s">
        <v>17</v>
      </c>
      <c r="G2598" t="str">
        <f>"03"</f>
        <v>03</v>
      </c>
      <c r="H2598" t="str">
        <f>"3  "</f>
        <v xml:space="preserve">3  </v>
      </c>
      <c r="I2598" t="str">
        <f>"2018/06/21"</f>
        <v>2018/06/21</v>
      </c>
      <c r="J2598" t="str">
        <f>"110"</f>
        <v>110</v>
      </c>
      <c r="K2598" t="str">
        <f>"20230702"</f>
        <v>20230702</v>
      </c>
      <c r="L2598" t="s">
        <v>18</v>
      </c>
      <c r="M2598" t="str">
        <f>"20171007"</f>
        <v>20171007</v>
      </c>
    </row>
    <row r="2599" spans="1:13" x14ac:dyDescent="0.25">
      <c r="A2599" t="str">
        <f>"00283037"</f>
        <v>00283037</v>
      </c>
      <c r="B2599" t="s">
        <v>3610</v>
      </c>
      <c r="C2599" t="s">
        <v>402</v>
      </c>
      <c r="D2599" t="s">
        <v>25</v>
      </c>
      <c r="E2599" t="s">
        <v>26</v>
      </c>
      <c r="F2599" t="s">
        <v>17</v>
      </c>
      <c r="G2599" t="str">
        <f>"03"</f>
        <v>03</v>
      </c>
      <c r="H2599" t="str">
        <f>"3  "</f>
        <v xml:space="preserve">3  </v>
      </c>
      <c r="I2599" t="str">
        <f>"2018/02/01"</f>
        <v>2018/02/01</v>
      </c>
      <c r="J2599" t="str">
        <f>"502"</f>
        <v>502</v>
      </c>
      <c r="K2599" t="str">
        <f>"20230816"</f>
        <v>20230816</v>
      </c>
      <c r="L2599" t="s">
        <v>18</v>
      </c>
      <c r="M2599" t="str">
        <f>"20060407"</f>
        <v>20060407</v>
      </c>
    </row>
    <row r="2600" spans="1:13" x14ac:dyDescent="0.25">
      <c r="A2600" t="str">
        <f>"00653021"</f>
        <v>00653021</v>
      </c>
      <c r="B2600" t="s">
        <v>3612</v>
      </c>
      <c r="C2600" t="s">
        <v>3613</v>
      </c>
      <c r="D2600" t="s">
        <v>25</v>
      </c>
      <c r="E2600" t="s">
        <v>26</v>
      </c>
      <c r="F2600" t="s">
        <v>17</v>
      </c>
      <c r="G2600" t="str">
        <f>"03"</f>
        <v>03</v>
      </c>
      <c r="H2600" t="str">
        <f>"0  "</f>
        <v xml:space="preserve">0  </v>
      </c>
      <c r="I2600" t="str">
        <f>"2020/01/11"</f>
        <v>2020/01/11</v>
      </c>
      <c r="J2600" t="str">
        <f>"410"</f>
        <v>410</v>
      </c>
      <c r="K2600" t="s">
        <v>18</v>
      </c>
      <c r="L2600" t="s">
        <v>18</v>
      </c>
      <c r="M2600" t="s">
        <v>18</v>
      </c>
    </row>
    <row r="2601" spans="1:13" x14ac:dyDescent="0.25">
      <c r="A2601" t="str">
        <f>"00918726"</f>
        <v>00918726</v>
      </c>
      <c r="B2601" t="s">
        <v>3615</v>
      </c>
      <c r="C2601" t="s">
        <v>269</v>
      </c>
      <c r="D2601" t="s">
        <v>25</v>
      </c>
      <c r="E2601" t="s">
        <v>16</v>
      </c>
      <c r="F2601" t="s">
        <v>17</v>
      </c>
      <c r="G2601" t="str">
        <f>"03"</f>
        <v>03</v>
      </c>
      <c r="H2601" t="str">
        <f>"1  "</f>
        <v xml:space="preserve">1  </v>
      </c>
      <c r="I2601" t="str">
        <f>"2020/07/24"</f>
        <v>2020/07/24</v>
      </c>
      <c r="J2601" t="str">
        <f>"512"</f>
        <v>512</v>
      </c>
      <c r="K2601" t="str">
        <f>"20200924"</f>
        <v>20200924</v>
      </c>
      <c r="L2601" t="s">
        <v>18</v>
      </c>
      <c r="M2601" t="str">
        <f>"20200603"</f>
        <v>20200603</v>
      </c>
    </row>
    <row r="2602" spans="1:13" x14ac:dyDescent="0.25">
      <c r="A2602" t="str">
        <f>"00540137"</f>
        <v>00540137</v>
      </c>
      <c r="B2602" t="s">
        <v>3628</v>
      </c>
      <c r="C2602" t="s">
        <v>1998</v>
      </c>
      <c r="D2602" t="s">
        <v>80</v>
      </c>
      <c r="E2602" t="s">
        <v>26</v>
      </c>
      <c r="F2602" t="s">
        <v>17</v>
      </c>
      <c r="G2602" t="str">
        <f>"03"</f>
        <v>03</v>
      </c>
      <c r="H2602" t="str">
        <f>"0  "</f>
        <v xml:space="preserve">0  </v>
      </c>
      <c r="I2602" t="str">
        <f>"2020/06/15"</f>
        <v>2020/06/15</v>
      </c>
      <c r="J2602" t="str">
        <f>"410"</f>
        <v>410</v>
      </c>
      <c r="K2602" t="s">
        <v>18</v>
      </c>
      <c r="L2602" t="s">
        <v>18</v>
      </c>
      <c r="M2602" t="s">
        <v>18</v>
      </c>
    </row>
    <row r="2603" spans="1:13" x14ac:dyDescent="0.25">
      <c r="A2603" t="str">
        <f>"00868916"</f>
        <v>00868916</v>
      </c>
      <c r="B2603" t="s">
        <v>3632</v>
      </c>
      <c r="C2603" t="s">
        <v>136</v>
      </c>
      <c r="D2603" t="s">
        <v>25</v>
      </c>
      <c r="E2603" t="s">
        <v>26</v>
      </c>
      <c r="F2603" t="s">
        <v>17</v>
      </c>
      <c r="G2603" t="str">
        <f>"03"</f>
        <v>03</v>
      </c>
      <c r="H2603" t="str">
        <f>"3  "</f>
        <v xml:space="preserve">3  </v>
      </c>
      <c r="I2603" t="str">
        <f>"2019/09/16"</f>
        <v>2019/09/16</v>
      </c>
      <c r="J2603" t="str">
        <f>"120"</f>
        <v>120</v>
      </c>
      <c r="K2603" t="str">
        <f>"20230811"</f>
        <v>20230811</v>
      </c>
      <c r="L2603" t="s">
        <v>18</v>
      </c>
      <c r="M2603" t="str">
        <f>"20190310"</f>
        <v>20190310</v>
      </c>
    </row>
    <row r="2604" spans="1:13" x14ac:dyDescent="0.25">
      <c r="A2604" t="str">
        <f>"00176836"</f>
        <v>00176836</v>
      </c>
      <c r="B2604" t="s">
        <v>3635</v>
      </c>
      <c r="C2604" t="s">
        <v>44</v>
      </c>
      <c r="D2604" t="s">
        <v>21</v>
      </c>
      <c r="E2604" t="s">
        <v>16</v>
      </c>
      <c r="F2604" t="s">
        <v>17</v>
      </c>
      <c r="G2604" t="str">
        <f>"03"</f>
        <v>03</v>
      </c>
      <c r="H2604" t="str">
        <f>"3  "</f>
        <v xml:space="preserve">3  </v>
      </c>
      <c r="I2604" t="str">
        <f>"2019/08/20"</f>
        <v>2019/08/20</v>
      </c>
      <c r="J2604" t="str">
        <f>"110"</f>
        <v>110</v>
      </c>
      <c r="K2604" t="str">
        <f>"20231124"</f>
        <v>20231124</v>
      </c>
      <c r="L2604" t="s">
        <v>18</v>
      </c>
      <c r="M2604" t="str">
        <f>"20190524"</f>
        <v>20190524</v>
      </c>
    </row>
    <row r="2605" spans="1:13" x14ac:dyDescent="0.25">
      <c r="A2605" t="str">
        <f>"00709998"</f>
        <v>00709998</v>
      </c>
      <c r="B2605" t="s">
        <v>3635</v>
      </c>
      <c r="C2605" t="s">
        <v>122</v>
      </c>
      <c r="D2605" t="s">
        <v>21</v>
      </c>
      <c r="E2605" t="s">
        <v>26</v>
      </c>
      <c r="F2605" t="s">
        <v>17</v>
      </c>
      <c r="G2605" t="str">
        <f>"03"</f>
        <v>03</v>
      </c>
      <c r="H2605" t="str">
        <f>"3  "</f>
        <v xml:space="preserve">3  </v>
      </c>
      <c r="I2605" t="str">
        <f>"2020/09/01"</f>
        <v>2020/09/01</v>
      </c>
      <c r="J2605" t="str">
        <f>"510"</f>
        <v>510</v>
      </c>
      <c r="K2605" t="str">
        <f>"20210501"</f>
        <v>20210501</v>
      </c>
      <c r="L2605" t="s">
        <v>18</v>
      </c>
      <c r="M2605" t="str">
        <f>"20190701"</f>
        <v>20190701</v>
      </c>
    </row>
    <row r="2606" spans="1:13" x14ac:dyDescent="0.25">
      <c r="A2606" t="str">
        <f>"00893787"</f>
        <v>00893787</v>
      </c>
      <c r="B2606" t="s">
        <v>3635</v>
      </c>
      <c r="C2606" t="s">
        <v>122</v>
      </c>
      <c r="D2606" t="s">
        <v>53</v>
      </c>
      <c r="E2606" t="s">
        <v>26</v>
      </c>
      <c r="F2606" t="s">
        <v>17</v>
      </c>
      <c r="G2606" t="str">
        <f>"03"</f>
        <v>03</v>
      </c>
      <c r="H2606" t="str">
        <f>"3  "</f>
        <v xml:space="preserve">3  </v>
      </c>
      <c r="I2606" t="str">
        <f>"2019/11/19"</f>
        <v>2019/11/19</v>
      </c>
      <c r="J2606" t="str">
        <f>"110"</f>
        <v>110</v>
      </c>
      <c r="K2606" t="str">
        <f>"20240920"</f>
        <v>20240920</v>
      </c>
      <c r="L2606" t="s">
        <v>18</v>
      </c>
      <c r="M2606" t="str">
        <f>"20181106"</f>
        <v>20181106</v>
      </c>
    </row>
    <row r="2607" spans="1:13" x14ac:dyDescent="0.25">
      <c r="A2607" t="str">
        <f>"00257001"</f>
        <v>00257001</v>
      </c>
      <c r="B2607" t="s">
        <v>3635</v>
      </c>
      <c r="C2607" t="s">
        <v>2387</v>
      </c>
      <c r="D2607" t="s">
        <v>51</v>
      </c>
      <c r="E2607" t="s">
        <v>26</v>
      </c>
      <c r="F2607" t="s">
        <v>17</v>
      </c>
      <c r="G2607" t="str">
        <f>"03"</f>
        <v>03</v>
      </c>
      <c r="H2607" t="str">
        <f>"0  "</f>
        <v xml:space="preserve">0  </v>
      </c>
      <c r="I2607" t="str">
        <f>"2020/08/26"</f>
        <v>2020/08/26</v>
      </c>
      <c r="J2607" t="str">
        <f>"410"</f>
        <v>410</v>
      </c>
      <c r="K2607" t="s">
        <v>18</v>
      </c>
      <c r="L2607" t="s">
        <v>18</v>
      </c>
      <c r="M2607" t="s">
        <v>18</v>
      </c>
    </row>
    <row r="2608" spans="1:13" x14ac:dyDescent="0.25">
      <c r="A2608" t="str">
        <f>"00547753"</f>
        <v>00547753</v>
      </c>
      <c r="B2608" t="s">
        <v>3635</v>
      </c>
      <c r="C2608" t="s">
        <v>833</v>
      </c>
      <c r="D2608" t="s">
        <v>80</v>
      </c>
      <c r="E2608" t="s">
        <v>16</v>
      </c>
      <c r="F2608" t="s">
        <v>17</v>
      </c>
      <c r="G2608" t="str">
        <f>"03"</f>
        <v>03</v>
      </c>
      <c r="H2608" t="str">
        <f>"6  "</f>
        <v xml:space="preserve">6  </v>
      </c>
      <c r="I2608" t="str">
        <f>"2018/09/18"</f>
        <v>2018/09/18</v>
      </c>
      <c r="J2608" t="str">
        <f>"110"</f>
        <v>110</v>
      </c>
      <c r="K2608" t="str">
        <f>"20230609"</f>
        <v>20230609</v>
      </c>
      <c r="L2608" t="s">
        <v>18</v>
      </c>
      <c r="M2608" t="str">
        <f>"20180111"</f>
        <v>20180111</v>
      </c>
    </row>
    <row r="2609" spans="1:13" x14ac:dyDescent="0.25">
      <c r="A2609" t="str">
        <f>"00924956"</f>
        <v>00924956</v>
      </c>
      <c r="B2609" t="s">
        <v>3635</v>
      </c>
      <c r="C2609" t="s">
        <v>169</v>
      </c>
      <c r="D2609" t="s">
        <v>25</v>
      </c>
      <c r="E2609" t="s">
        <v>26</v>
      </c>
      <c r="F2609" t="s">
        <v>17</v>
      </c>
      <c r="G2609" t="str">
        <f>"03"</f>
        <v>03</v>
      </c>
      <c r="H2609" t="str">
        <f>"3  "</f>
        <v xml:space="preserve">3  </v>
      </c>
      <c r="I2609" t="str">
        <f>"2020/03/19"</f>
        <v>2020/03/19</v>
      </c>
      <c r="J2609" t="str">
        <f>"502"</f>
        <v>502</v>
      </c>
      <c r="K2609" t="str">
        <f>"20281030"</f>
        <v>20281030</v>
      </c>
      <c r="L2609" t="str">
        <f>"20191117"</f>
        <v>20191117</v>
      </c>
      <c r="M2609" t="str">
        <f>"20080624"</f>
        <v>20080624</v>
      </c>
    </row>
    <row r="2610" spans="1:13" x14ac:dyDescent="0.25">
      <c r="A2610" t="str">
        <f>"00576751"</f>
        <v>00576751</v>
      </c>
      <c r="B2610" t="s">
        <v>3647</v>
      </c>
      <c r="C2610" t="s">
        <v>320</v>
      </c>
      <c r="D2610" t="s">
        <v>25</v>
      </c>
      <c r="E2610" t="s">
        <v>26</v>
      </c>
      <c r="F2610" t="s">
        <v>17</v>
      </c>
      <c r="G2610" t="str">
        <f>"03"</f>
        <v>03</v>
      </c>
      <c r="H2610" t="str">
        <f>"3  "</f>
        <v xml:space="preserve">3  </v>
      </c>
      <c r="I2610" t="str">
        <f>"2020/01/25"</f>
        <v>2020/01/25</v>
      </c>
      <c r="J2610" t="str">
        <f>"110"</f>
        <v>110</v>
      </c>
      <c r="K2610" t="str">
        <f>"20251231"</f>
        <v>20251231</v>
      </c>
      <c r="L2610" t="s">
        <v>18</v>
      </c>
      <c r="M2610" t="str">
        <f>"20200121"</f>
        <v>20200121</v>
      </c>
    </row>
    <row r="2611" spans="1:13" x14ac:dyDescent="0.25">
      <c r="A2611" t="str">
        <f>"00183391"</f>
        <v>00183391</v>
      </c>
      <c r="B2611" t="s">
        <v>3647</v>
      </c>
      <c r="C2611" t="s">
        <v>663</v>
      </c>
      <c r="D2611" t="s">
        <v>47</v>
      </c>
      <c r="E2611" t="s">
        <v>26</v>
      </c>
      <c r="F2611" t="s">
        <v>17</v>
      </c>
      <c r="G2611" t="str">
        <f>"03"</f>
        <v>03</v>
      </c>
      <c r="H2611" t="str">
        <f>"3  "</f>
        <v xml:space="preserve">3  </v>
      </c>
      <c r="I2611" t="str">
        <f>"2016/08/19"</f>
        <v>2016/08/19</v>
      </c>
      <c r="J2611" t="str">
        <f>"531"</f>
        <v>531</v>
      </c>
      <c r="K2611" t="str">
        <f>"20380922"</f>
        <v>20380922</v>
      </c>
      <c r="L2611" t="s">
        <v>18</v>
      </c>
      <c r="M2611" t="str">
        <f>"20130314"</f>
        <v>20130314</v>
      </c>
    </row>
    <row r="2612" spans="1:13" x14ac:dyDescent="0.25">
      <c r="A2612" t="str">
        <f>"00778013"</f>
        <v>00778013</v>
      </c>
      <c r="B2612" t="s">
        <v>3655</v>
      </c>
      <c r="C2612" t="s">
        <v>3656</v>
      </c>
      <c r="D2612" t="s">
        <v>21</v>
      </c>
      <c r="E2612" t="s">
        <v>26</v>
      </c>
      <c r="F2612" t="s">
        <v>17</v>
      </c>
      <c r="G2612" t="str">
        <f>"03"</f>
        <v>03</v>
      </c>
      <c r="H2612" t="str">
        <f>"3  "</f>
        <v xml:space="preserve">3  </v>
      </c>
      <c r="I2612" t="str">
        <f>"2019/12/30"</f>
        <v>2019/12/30</v>
      </c>
      <c r="J2612" t="str">
        <f>"110"</f>
        <v>110</v>
      </c>
      <c r="K2612" t="str">
        <f>"20210512"</f>
        <v>20210512</v>
      </c>
      <c r="L2612" t="s">
        <v>18</v>
      </c>
      <c r="M2612" t="str">
        <f>"20191004"</f>
        <v>20191004</v>
      </c>
    </row>
    <row r="2613" spans="1:13" x14ac:dyDescent="0.25">
      <c r="A2613" t="str">
        <f>"00567198"</f>
        <v>00567198</v>
      </c>
      <c r="B2613" t="s">
        <v>3657</v>
      </c>
      <c r="C2613" t="s">
        <v>3658</v>
      </c>
      <c r="D2613" t="s">
        <v>215</v>
      </c>
      <c r="E2613" t="s">
        <v>26</v>
      </c>
      <c r="F2613" t="s">
        <v>17</v>
      </c>
      <c r="G2613" t="str">
        <f>"03"</f>
        <v>03</v>
      </c>
      <c r="H2613" t="str">
        <f>"3  "</f>
        <v xml:space="preserve">3  </v>
      </c>
      <c r="I2613" t="str">
        <f>"2019/05/31"</f>
        <v>2019/05/31</v>
      </c>
      <c r="J2613" t="str">
        <f>"110"</f>
        <v>110</v>
      </c>
      <c r="K2613" t="str">
        <f>"20320323"</f>
        <v>20320323</v>
      </c>
      <c r="L2613" t="s">
        <v>18</v>
      </c>
      <c r="M2613" t="str">
        <f>"20181108"</f>
        <v>20181108</v>
      </c>
    </row>
    <row r="2614" spans="1:13" x14ac:dyDescent="0.25">
      <c r="A2614" t="str">
        <f>"00590682"</f>
        <v>00590682</v>
      </c>
      <c r="B2614" t="s">
        <v>3660</v>
      </c>
      <c r="C2614" t="s">
        <v>3661</v>
      </c>
      <c r="D2614" t="s">
        <v>73</v>
      </c>
      <c r="E2614" t="s">
        <v>26</v>
      </c>
      <c r="F2614" t="s">
        <v>17</v>
      </c>
      <c r="G2614" t="str">
        <f>"03"</f>
        <v>03</v>
      </c>
      <c r="H2614" t="str">
        <f>"3  "</f>
        <v xml:space="preserve">3  </v>
      </c>
      <c r="I2614" t="str">
        <f>"2017/05/02"</f>
        <v>2017/05/02</v>
      </c>
      <c r="J2614" t="str">
        <f>"120"</f>
        <v>120</v>
      </c>
      <c r="K2614" t="str">
        <f>"20210225"</f>
        <v>20210225</v>
      </c>
      <c r="L2614" t="s">
        <v>18</v>
      </c>
      <c r="M2614" t="str">
        <f>"20161012"</f>
        <v>20161012</v>
      </c>
    </row>
    <row r="2615" spans="1:13" x14ac:dyDescent="0.25">
      <c r="A2615" t="str">
        <f>"00285916"</f>
        <v>00285916</v>
      </c>
      <c r="B2615" t="s">
        <v>3671</v>
      </c>
      <c r="C2615" t="s">
        <v>3672</v>
      </c>
      <c r="D2615" t="s">
        <v>21</v>
      </c>
      <c r="E2615" t="s">
        <v>26</v>
      </c>
      <c r="F2615" t="s">
        <v>17</v>
      </c>
      <c r="G2615" t="str">
        <f>"03"</f>
        <v>03</v>
      </c>
      <c r="H2615" t="str">
        <f>"1  "</f>
        <v xml:space="preserve">1  </v>
      </c>
      <c r="I2615" t="str">
        <f>"2020/09/09"</f>
        <v>2020/09/09</v>
      </c>
      <c r="J2615" t="str">
        <f>"110"</f>
        <v>110</v>
      </c>
      <c r="K2615" t="str">
        <f>"20201010"</f>
        <v>20201010</v>
      </c>
      <c r="L2615" t="s">
        <v>18</v>
      </c>
      <c r="M2615" t="str">
        <f>"20200829"</f>
        <v>20200829</v>
      </c>
    </row>
    <row r="2616" spans="1:13" x14ac:dyDescent="0.25">
      <c r="A2616" t="str">
        <f>"00728334"</f>
        <v>00728334</v>
      </c>
      <c r="B2616" t="s">
        <v>3673</v>
      </c>
      <c r="C2616" t="s">
        <v>3674</v>
      </c>
      <c r="D2616" t="s">
        <v>15</v>
      </c>
      <c r="E2616" t="s">
        <v>26</v>
      </c>
      <c r="F2616" t="s">
        <v>17</v>
      </c>
      <c r="G2616" t="str">
        <f>"03"</f>
        <v>03</v>
      </c>
      <c r="H2616" t="str">
        <f>"0  "</f>
        <v xml:space="preserve">0  </v>
      </c>
      <c r="I2616" t="str">
        <f>"2020/02/08"</f>
        <v>2020/02/08</v>
      </c>
      <c r="J2616" t="str">
        <f>"420"</f>
        <v>420</v>
      </c>
      <c r="K2616" t="s">
        <v>18</v>
      </c>
      <c r="L2616" t="s">
        <v>18</v>
      </c>
      <c r="M2616" t="s">
        <v>18</v>
      </c>
    </row>
    <row r="2617" spans="1:13" x14ac:dyDescent="0.25">
      <c r="A2617" t="str">
        <f>"00812210"</f>
        <v>00812210</v>
      </c>
      <c r="B2617" t="s">
        <v>3679</v>
      </c>
      <c r="C2617" t="s">
        <v>3680</v>
      </c>
      <c r="D2617" t="s">
        <v>25</v>
      </c>
      <c r="E2617" t="s">
        <v>16</v>
      </c>
      <c r="F2617" t="s">
        <v>17</v>
      </c>
      <c r="G2617" t="str">
        <f>"03"</f>
        <v>03</v>
      </c>
      <c r="H2617" t="str">
        <f>"3  "</f>
        <v xml:space="preserve">3  </v>
      </c>
      <c r="I2617" t="str">
        <f>"2020/09/09"</f>
        <v>2020/09/09</v>
      </c>
      <c r="J2617" t="str">
        <f>"502"</f>
        <v>502</v>
      </c>
      <c r="K2617" t="str">
        <f>"20211002"</f>
        <v>20211002</v>
      </c>
      <c r="L2617" t="s">
        <v>18</v>
      </c>
      <c r="M2617" t="str">
        <f>"20200514"</f>
        <v>20200514</v>
      </c>
    </row>
    <row r="2618" spans="1:13" x14ac:dyDescent="0.25">
      <c r="A2618" t="str">
        <f>"00432174"</f>
        <v>00432174</v>
      </c>
      <c r="B2618" t="s">
        <v>3679</v>
      </c>
      <c r="C2618" t="s">
        <v>531</v>
      </c>
      <c r="D2618" t="s">
        <v>16</v>
      </c>
      <c r="E2618" t="s">
        <v>16</v>
      </c>
      <c r="F2618" t="s">
        <v>17</v>
      </c>
      <c r="G2618" t="str">
        <f>"03"</f>
        <v>03</v>
      </c>
      <c r="H2618" t="str">
        <f>"3  "</f>
        <v xml:space="preserve">3  </v>
      </c>
      <c r="I2618" t="str">
        <f>"2014/06/27"</f>
        <v>2014/06/27</v>
      </c>
      <c r="J2618" t="str">
        <f>"110"</f>
        <v>110</v>
      </c>
      <c r="K2618" t="str">
        <f>"20220624"</f>
        <v>20220624</v>
      </c>
      <c r="L2618" t="s">
        <v>18</v>
      </c>
      <c r="M2618" t="str">
        <f>"20140625"</f>
        <v>20140625</v>
      </c>
    </row>
    <row r="2619" spans="1:13" x14ac:dyDescent="0.25">
      <c r="A2619" t="str">
        <f>"00846344"</f>
        <v>00846344</v>
      </c>
      <c r="B2619" t="s">
        <v>3690</v>
      </c>
      <c r="C2619" t="s">
        <v>36</v>
      </c>
      <c r="D2619" t="s">
        <v>37</v>
      </c>
      <c r="E2619" t="s">
        <v>16</v>
      </c>
      <c r="F2619" t="s">
        <v>17</v>
      </c>
      <c r="G2619" t="str">
        <f>"03"</f>
        <v>03</v>
      </c>
      <c r="H2619" t="str">
        <f>"3  "</f>
        <v xml:space="preserve">3  </v>
      </c>
      <c r="I2619" t="str">
        <f>"2019/06/24"</f>
        <v>2019/06/24</v>
      </c>
      <c r="J2619" t="str">
        <f>"110"</f>
        <v>110</v>
      </c>
      <c r="K2619" t="str">
        <f>"20770209"</f>
        <v>20770209</v>
      </c>
      <c r="L2619" t="s">
        <v>18</v>
      </c>
      <c r="M2619" t="str">
        <f>"20161030"</f>
        <v>20161030</v>
      </c>
    </row>
    <row r="2620" spans="1:13" x14ac:dyDescent="0.25">
      <c r="A2620" t="str">
        <f>"00466800"</f>
        <v>00466800</v>
      </c>
      <c r="B2620" t="s">
        <v>3691</v>
      </c>
      <c r="C2620" t="s">
        <v>3692</v>
      </c>
      <c r="D2620" t="s">
        <v>73</v>
      </c>
      <c r="E2620" t="s">
        <v>26</v>
      </c>
      <c r="F2620" t="s">
        <v>17</v>
      </c>
      <c r="G2620" t="str">
        <f>"03"</f>
        <v>03</v>
      </c>
      <c r="H2620" t="str">
        <f>"0  "</f>
        <v xml:space="preserve">0  </v>
      </c>
      <c r="I2620" t="str">
        <f>"2020/01/04"</f>
        <v>2020/01/04</v>
      </c>
      <c r="J2620" t="str">
        <f>"410"</f>
        <v>410</v>
      </c>
      <c r="K2620" t="s">
        <v>18</v>
      </c>
      <c r="L2620" t="s">
        <v>18</v>
      </c>
      <c r="M2620" t="s">
        <v>18</v>
      </c>
    </row>
    <row r="2621" spans="1:13" x14ac:dyDescent="0.25">
      <c r="A2621" t="str">
        <f>"00675135"</f>
        <v>00675135</v>
      </c>
      <c r="B2621" t="s">
        <v>3694</v>
      </c>
      <c r="C2621" t="s">
        <v>120</v>
      </c>
      <c r="D2621" t="s">
        <v>25</v>
      </c>
      <c r="E2621" t="s">
        <v>16</v>
      </c>
      <c r="F2621" t="s">
        <v>17</v>
      </c>
      <c r="G2621" t="str">
        <f>"03"</f>
        <v>03</v>
      </c>
      <c r="H2621" t="str">
        <f>"1  "</f>
        <v xml:space="preserve">1  </v>
      </c>
      <c r="I2621" t="str">
        <f>"2019/11/06"</f>
        <v>2019/11/06</v>
      </c>
      <c r="J2621" t="str">
        <f>"110"</f>
        <v>110</v>
      </c>
      <c r="K2621" t="str">
        <f>"20200928"</f>
        <v>20200928</v>
      </c>
      <c r="L2621" t="s">
        <v>18</v>
      </c>
      <c r="M2621" t="str">
        <f>"20191023"</f>
        <v>20191023</v>
      </c>
    </row>
    <row r="2622" spans="1:13" x14ac:dyDescent="0.25">
      <c r="A2622" t="str">
        <f>"00141561"</f>
        <v>00141561</v>
      </c>
      <c r="B2622" t="s">
        <v>3696</v>
      </c>
      <c r="C2622" t="s">
        <v>308</v>
      </c>
      <c r="D2622" t="s">
        <v>45</v>
      </c>
      <c r="E2622" t="s">
        <v>16</v>
      </c>
      <c r="F2622" t="s">
        <v>17</v>
      </c>
      <c r="G2622" t="str">
        <f>"03"</f>
        <v>03</v>
      </c>
      <c r="H2622" t="str">
        <f>"3  "</f>
        <v xml:space="preserve">3  </v>
      </c>
      <c r="I2622" t="str">
        <f>"2020/08/12"</f>
        <v>2020/08/12</v>
      </c>
      <c r="J2622" t="str">
        <f>"502"</f>
        <v>502</v>
      </c>
      <c r="K2622" t="str">
        <f>"20330327"</f>
        <v>20330327</v>
      </c>
      <c r="L2622" t="s">
        <v>18</v>
      </c>
      <c r="M2622" t="str">
        <f>"20190911"</f>
        <v>20190911</v>
      </c>
    </row>
    <row r="2623" spans="1:13" x14ac:dyDescent="0.25">
      <c r="A2623" t="str">
        <f>"00823385"</f>
        <v>00823385</v>
      </c>
      <c r="B2623" t="s">
        <v>3697</v>
      </c>
      <c r="C2623" t="s">
        <v>3698</v>
      </c>
      <c r="D2623" t="s">
        <v>25</v>
      </c>
      <c r="E2623" t="s">
        <v>26</v>
      </c>
      <c r="F2623" t="s">
        <v>17</v>
      </c>
      <c r="G2623" t="str">
        <f>"03"</f>
        <v>03</v>
      </c>
      <c r="H2623" t="str">
        <f>"3  "</f>
        <v xml:space="preserve">3  </v>
      </c>
      <c r="I2623" t="str">
        <f>"2020/03/04"</f>
        <v>2020/03/04</v>
      </c>
      <c r="J2623" t="str">
        <f>"110"</f>
        <v>110</v>
      </c>
      <c r="K2623" t="str">
        <f>"20420506"</f>
        <v>20420506</v>
      </c>
      <c r="L2623" t="s">
        <v>18</v>
      </c>
      <c r="M2623" t="str">
        <f>"20191011"</f>
        <v>20191011</v>
      </c>
    </row>
    <row r="2624" spans="1:13" x14ac:dyDescent="0.25">
      <c r="A2624" t="str">
        <f>"00413262"</f>
        <v>00413262</v>
      </c>
      <c r="B2624" t="s">
        <v>3703</v>
      </c>
      <c r="C2624" t="s">
        <v>1028</v>
      </c>
      <c r="D2624" t="s">
        <v>40</v>
      </c>
      <c r="E2624" t="s">
        <v>16</v>
      </c>
      <c r="F2624" t="s">
        <v>17</v>
      </c>
      <c r="G2624" t="str">
        <f>"03"</f>
        <v>03</v>
      </c>
      <c r="H2624" t="str">
        <f>"3  "</f>
        <v xml:space="preserve">3  </v>
      </c>
      <c r="I2624" t="str">
        <f>"2016/09/19"</f>
        <v>2016/09/19</v>
      </c>
      <c r="J2624" t="str">
        <f>"110"</f>
        <v>110</v>
      </c>
      <c r="K2624" t="str">
        <f>"20270419"</f>
        <v>20270419</v>
      </c>
      <c r="L2624" t="s">
        <v>18</v>
      </c>
      <c r="M2624" t="str">
        <f>"20160209"</f>
        <v>20160209</v>
      </c>
    </row>
    <row r="2625" spans="1:13" x14ac:dyDescent="0.25">
      <c r="A2625" t="str">
        <f>"00705742"</f>
        <v>00705742</v>
      </c>
      <c r="B2625" t="s">
        <v>3712</v>
      </c>
      <c r="C2625" t="s">
        <v>1844</v>
      </c>
      <c r="D2625" t="s">
        <v>25</v>
      </c>
      <c r="E2625" t="s">
        <v>26</v>
      </c>
      <c r="F2625" t="s">
        <v>17</v>
      </c>
      <c r="G2625" t="str">
        <f>"03"</f>
        <v>03</v>
      </c>
      <c r="H2625" t="str">
        <f>"3  "</f>
        <v xml:space="preserve">3  </v>
      </c>
      <c r="I2625" t="str">
        <f>"2018/11/21"</f>
        <v>2018/11/21</v>
      </c>
      <c r="J2625" t="str">
        <f>"110"</f>
        <v>110</v>
      </c>
      <c r="K2625" t="str">
        <f>"20201022"</f>
        <v>20201022</v>
      </c>
      <c r="L2625" t="s">
        <v>18</v>
      </c>
      <c r="M2625" t="str">
        <f>"20180902"</f>
        <v>20180902</v>
      </c>
    </row>
    <row r="2626" spans="1:13" x14ac:dyDescent="0.25">
      <c r="A2626" t="str">
        <f>"00272773"</f>
        <v>00272773</v>
      </c>
      <c r="B2626" t="s">
        <v>3712</v>
      </c>
      <c r="C2626" t="s">
        <v>353</v>
      </c>
      <c r="D2626" t="s">
        <v>215</v>
      </c>
      <c r="E2626" t="s">
        <v>16</v>
      </c>
      <c r="F2626" t="s">
        <v>17</v>
      </c>
      <c r="G2626" t="str">
        <f>"03"</f>
        <v>03</v>
      </c>
      <c r="H2626" t="str">
        <f>"3  "</f>
        <v xml:space="preserve">3  </v>
      </c>
      <c r="I2626" t="str">
        <f>"2020/03/12"</f>
        <v>2020/03/12</v>
      </c>
      <c r="J2626" t="str">
        <f>"110"</f>
        <v>110</v>
      </c>
      <c r="K2626" t="str">
        <f>"20220722"</f>
        <v>20220722</v>
      </c>
      <c r="L2626" t="s">
        <v>18</v>
      </c>
      <c r="M2626" t="str">
        <f>"20191121"</f>
        <v>20191121</v>
      </c>
    </row>
    <row r="2627" spans="1:13" x14ac:dyDescent="0.25">
      <c r="A2627" t="str">
        <f>"00210237"</f>
        <v>00210237</v>
      </c>
      <c r="B2627" t="s">
        <v>3714</v>
      </c>
      <c r="C2627" t="s">
        <v>96</v>
      </c>
      <c r="D2627" t="s">
        <v>456</v>
      </c>
      <c r="E2627" t="s">
        <v>16</v>
      </c>
      <c r="F2627" t="s">
        <v>17</v>
      </c>
      <c r="G2627" t="str">
        <f>"03"</f>
        <v>03</v>
      </c>
      <c r="H2627" t="str">
        <f>"3  "</f>
        <v xml:space="preserve">3  </v>
      </c>
      <c r="I2627" t="str">
        <f>"2005/12/12"</f>
        <v>2005/12/12</v>
      </c>
      <c r="J2627" t="str">
        <f>"502"</f>
        <v>502</v>
      </c>
      <c r="K2627" t="str">
        <f>"21971226"</f>
        <v>21971226</v>
      </c>
      <c r="L2627" t="s">
        <v>18</v>
      </c>
      <c r="M2627" t="str">
        <f>"19970329"</f>
        <v>19970329</v>
      </c>
    </row>
    <row r="2628" spans="1:13" x14ac:dyDescent="0.25">
      <c r="A2628" t="str">
        <f>"00230502"</f>
        <v>00230502</v>
      </c>
      <c r="B2628" t="s">
        <v>3720</v>
      </c>
      <c r="C2628" t="s">
        <v>44</v>
      </c>
      <c r="D2628" t="s">
        <v>51</v>
      </c>
      <c r="E2628" t="s">
        <v>26</v>
      </c>
      <c r="F2628" t="s">
        <v>17</v>
      </c>
      <c r="G2628" t="str">
        <f>"03"</f>
        <v>03</v>
      </c>
      <c r="H2628" t="str">
        <f>"3  "</f>
        <v xml:space="preserve">3  </v>
      </c>
      <c r="I2628" t="str">
        <f>"2019/08/16"</f>
        <v>2019/08/16</v>
      </c>
      <c r="J2628" t="str">
        <f>"512"</f>
        <v>512</v>
      </c>
      <c r="K2628" t="str">
        <f>"20251028"</f>
        <v>20251028</v>
      </c>
      <c r="L2628" t="s">
        <v>18</v>
      </c>
      <c r="M2628" t="str">
        <f>"20190626"</f>
        <v>20190626</v>
      </c>
    </row>
    <row r="2629" spans="1:13" x14ac:dyDescent="0.25">
      <c r="A2629" t="str">
        <f>"00487226"</f>
        <v>00487226</v>
      </c>
      <c r="B2629" t="s">
        <v>3721</v>
      </c>
      <c r="C2629" t="s">
        <v>1312</v>
      </c>
      <c r="D2629" t="s">
        <v>25</v>
      </c>
      <c r="E2629" t="s">
        <v>16</v>
      </c>
      <c r="F2629" t="s">
        <v>17</v>
      </c>
      <c r="G2629" t="str">
        <f>"03"</f>
        <v>03</v>
      </c>
      <c r="H2629" t="str">
        <f>"3  "</f>
        <v xml:space="preserve">3  </v>
      </c>
      <c r="I2629" t="str">
        <f>"2019/01/07"</f>
        <v>2019/01/07</v>
      </c>
      <c r="J2629" t="str">
        <f>"110"</f>
        <v>110</v>
      </c>
      <c r="K2629" t="str">
        <f>"20210221"</f>
        <v>20210221</v>
      </c>
      <c r="L2629" t="s">
        <v>18</v>
      </c>
      <c r="M2629" t="str">
        <f>"20190104"</f>
        <v>20190104</v>
      </c>
    </row>
    <row r="2630" spans="1:13" x14ac:dyDescent="0.25">
      <c r="A2630" t="str">
        <f>"00688823"</f>
        <v>00688823</v>
      </c>
      <c r="B2630" t="s">
        <v>3723</v>
      </c>
      <c r="C2630" t="s">
        <v>3724</v>
      </c>
      <c r="D2630" t="s">
        <v>61</v>
      </c>
      <c r="E2630" t="s">
        <v>26</v>
      </c>
      <c r="F2630" t="s">
        <v>17</v>
      </c>
      <c r="G2630" t="str">
        <f>"03"</f>
        <v>03</v>
      </c>
      <c r="H2630" t="str">
        <f>"3  "</f>
        <v xml:space="preserve">3  </v>
      </c>
      <c r="I2630" t="str">
        <f>"2018/10/24"</f>
        <v>2018/10/24</v>
      </c>
      <c r="J2630" t="str">
        <f>"110"</f>
        <v>110</v>
      </c>
      <c r="K2630" t="str">
        <f>"20210409"</f>
        <v>20210409</v>
      </c>
      <c r="L2630" t="s">
        <v>18</v>
      </c>
      <c r="M2630" t="str">
        <f>"20180807"</f>
        <v>20180807</v>
      </c>
    </row>
    <row r="2631" spans="1:13" x14ac:dyDescent="0.25">
      <c r="A2631" t="str">
        <f>"00595780"</f>
        <v>00595780</v>
      </c>
      <c r="B2631" t="s">
        <v>3725</v>
      </c>
      <c r="C2631" t="s">
        <v>3726</v>
      </c>
      <c r="D2631" t="s">
        <v>51</v>
      </c>
      <c r="E2631" t="s">
        <v>26</v>
      </c>
      <c r="F2631" t="s">
        <v>17</v>
      </c>
      <c r="G2631" t="str">
        <f>"03"</f>
        <v>03</v>
      </c>
      <c r="H2631" t="str">
        <f>"1  "</f>
        <v xml:space="preserve">1  </v>
      </c>
      <c r="I2631" t="str">
        <f>"2020/01/30"</f>
        <v>2020/01/30</v>
      </c>
      <c r="J2631" t="str">
        <f>"512"</f>
        <v>512</v>
      </c>
      <c r="K2631" t="str">
        <f>"20201227"</f>
        <v>20201227</v>
      </c>
      <c r="L2631" t="s">
        <v>18</v>
      </c>
      <c r="M2631" t="str">
        <f>"20200121"</f>
        <v>20200121</v>
      </c>
    </row>
    <row r="2632" spans="1:13" x14ac:dyDescent="0.25">
      <c r="A2632" t="str">
        <f>"00309129"</f>
        <v>00309129</v>
      </c>
      <c r="B2632" t="s">
        <v>3730</v>
      </c>
      <c r="C2632" t="s">
        <v>2252</v>
      </c>
      <c r="D2632" t="s">
        <v>45</v>
      </c>
      <c r="E2632" t="s">
        <v>26</v>
      </c>
      <c r="F2632" t="s">
        <v>17</v>
      </c>
      <c r="G2632" t="str">
        <f>"03"</f>
        <v>03</v>
      </c>
      <c r="H2632" t="str">
        <f>"3  "</f>
        <v xml:space="preserve">3  </v>
      </c>
      <c r="I2632" t="str">
        <f>"2011/06/10"</f>
        <v>2011/06/10</v>
      </c>
      <c r="J2632" t="str">
        <f>"502"</f>
        <v>502</v>
      </c>
      <c r="K2632" t="str">
        <f>"20540118"</f>
        <v>20540118</v>
      </c>
      <c r="L2632" t="s">
        <v>18</v>
      </c>
      <c r="M2632" t="str">
        <f>"19980210"</f>
        <v>19980210</v>
      </c>
    </row>
    <row r="2633" spans="1:13" x14ac:dyDescent="0.25">
      <c r="A2633" t="str">
        <f>"00150155"</f>
        <v>00150155</v>
      </c>
      <c r="B2633" t="s">
        <v>3738</v>
      </c>
      <c r="C2633" t="s">
        <v>118</v>
      </c>
      <c r="D2633" t="s">
        <v>47</v>
      </c>
      <c r="E2633" t="s">
        <v>26</v>
      </c>
      <c r="F2633" t="s">
        <v>17</v>
      </c>
      <c r="G2633" t="str">
        <f>"03"</f>
        <v>03</v>
      </c>
      <c r="H2633" t="str">
        <f>"3  "</f>
        <v xml:space="preserve">3  </v>
      </c>
      <c r="I2633" t="str">
        <f>"2020/09/10"</f>
        <v>2020/09/10</v>
      </c>
      <c r="J2633" t="str">
        <f>"502"</f>
        <v>502</v>
      </c>
      <c r="K2633" t="str">
        <f>"20280319"</f>
        <v>20280319</v>
      </c>
      <c r="L2633" t="s">
        <v>18</v>
      </c>
      <c r="M2633" t="str">
        <f>"20030228"</f>
        <v>20030228</v>
      </c>
    </row>
    <row r="2634" spans="1:13" x14ac:dyDescent="0.25">
      <c r="A2634" t="str">
        <f>"00350269"</f>
        <v>00350269</v>
      </c>
      <c r="B2634" t="s">
        <v>3745</v>
      </c>
      <c r="C2634" t="s">
        <v>55</v>
      </c>
      <c r="D2634" t="s">
        <v>15</v>
      </c>
      <c r="E2634" t="s">
        <v>26</v>
      </c>
      <c r="F2634" t="s">
        <v>17</v>
      </c>
      <c r="G2634" t="str">
        <f>"03"</f>
        <v>03</v>
      </c>
      <c r="H2634" t="str">
        <f>"0  "</f>
        <v xml:space="preserve">0  </v>
      </c>
      <c r="I2634" t="str">
        <f>"2020/09/16"</f>
        <v>2020/09/16</v>
      </c>
      <c r="J2634" t="str">
        <f>"410"</f>
        <v>410</v>
      </c>
      <c r="K2634" t="s">
        <v>18</v>
      </c>
      <c r="L2634" t="s">
        <v>18</v>
      </c>
      <c r="M2634" t="s">
        <v>18</v>
      </c>
    </row>
    <row r="2635" spans="1:13" x14ac:dyDescent="0.25">
      <c r="A2635" t="str">
        <f>"00679943"</f>
        <v>00679943</v>
      </c>
      <c r="B2635" t="s">
        <v>3748</v>
      </c>
      <c r="C2635" t="s">
        <v>308</v>
      </c>
      <c r="D2635" t="s">
        <v>37</v>
      </c>
      <c r="E2635" t="s">
        <v>16</v>
      </c>
      <c r="F2635" t="s">
        <v>17</v>
      </c>
      <c r="G2635" t="str">
        <f>"03"</f>
        <v>03</v>
      </c>
      <c r="H2635" t="str">
        <f>"1  "</f>
        <v xml:space="preserve">1  </v>
      </c>
      <c r="I2635" t="str">
        <f>"2019/12/16"</f>
        <v>2019/12/16</v>
      </c>
      <c r="J2635" t="str">
        <f>"512"</f>
        <v>512</v>
      </c>
      <c r="K2635" t="str">
        <f>"20201031"</f>
        <v>20201031</v>
      </c>
      <c r="L2635" t="s">
        <v>18</v>
      </c>
      <c r="M2635" t="str">
        <f>"20191126"</f>
        <v>20191126</v>
      </c>
    </row>
    <row r="2636" spans="1:13" x14ac:dyDescent="0.25">
      <c r="A2636" t="str">
        <f>"00608303"</f>
        <v>00608303</v>
      </c>
      <c r="B2636" t="s">
        <v>3750</v>
      </c>
      <c r="C2636" t="s">
        <v>3751</v>
      </c>
      <c r="D2636" t="s">
        <v>40</v>
      </c>
      <c r="E2636" t="s">
        <v>26</v>
      </c>
      <c r="F2636" t="s">
        <v>17</v>
      </c>
      <c r="G2636" t="str">
        <f>"03"</f>
        <v>03</v>
      </c>
      <c r="H2636" t="str">
        <f>"3  "</f>
        <v xml:space="preserve">3  </v>
      </c>
      <c r="I2636" t="str">
        <f>"2019/12/26"</f>
        <v>2019/12/26</v>
      </c>
      <c r="J2636" t="str">
        <f>"110"</f>
        <v>110</v>
      </c>
      <c r="K2636" t="str">
        <f>"20250723"</f>
        <v>20250723</v>
      </c>
      <c r="L2636" t="s">
        <v>18</v>
      </c>
      <c r="M2636" t="str">
        <f>"20180819"</f>
        <v>20180819</v>
      </c>
    </row>
    <row r="2637" spans="1:13" x14ac:dyDescent="0.25">
      <c r="A2637" t="str">
        <f>"00390645"</f>
        <v>00390645</v>
      </c>
      <c r="B2637" t="s">
        <v>3752</v>
      </c>
      <c r="C2637" t="s">
        <v>48</v>
      </c>
      <c r="D2637" t="s">
        <v>16</v>
      </c>
      <c r="E2637" t="s">
        <v>16</v>
      </c>
      <c r="F2637" t="s">
        <v>17</v>
      </c>
      <c r="G2637" t="str">
        <f>"03"</f>
        <v>03</v>
      </c>
      <c r="H2637" t="str">
        <f>"3  "</f>
        <v xml:space="preserve">3  </v>
      </c>
      <c r="I2637" t="str">
        <f>"2020/08/10"</f>
        <v>2020/08/10</v>
      </c>
      <c r="J2637" t="str">
        <f>"110"</f>
        <v>110</v>
      </c>
      <c r="K2637" t="str">
        <f>"20220319"</f>
        <v>20220319</v>
      </c>
      <c r="L2637" t="s">
        <v>18</v>
      </c>
      <c r="M2637" t="str">
        <f>"20200810"</f>
        <v>20200810</v>
      </c>
    </row>
    <row r="2638" spans="1:13" x14ac:dyDescent="0.25">
      <c r="A2638" t="str">
        <f>"00628931"</f>
        <v>00628931</v>
      </c>
      <c r="B2638" t="s">
        <v>3753</v>
      </c>
      <c r="C2638" t="s">
        <v>74</v>
      </c>
      <c r="D2638" t="s">
        <v>45</v>
      </c>
      <c r="E2638" t="s">
        <v>16</v>
      </c>
      <c r="F2638" t="s">
        <v>17</v>
      </c>
      <c r="G2638" t="str">
        <f>"03"</f>
        <v>03</v>
      </c>
      <c r="H2638" t="str">
        <f>"3  "</f>
        <v xml:space="preserve">3  </v>
      </c>
      <c r="I2638" t="str">
        <f>"2020/09/15"</f>
        <v>2020/09/15</v>
      </c>
      <c r="J2638" t="str">
        <f>"502"</f>
        <v>502</v>
      </c>
      <c r="K2638" t="str">
        <f>"20340221"</f>
        <v>20340221</v>
      </c>
      <c r="L2638" t="s">
        <v>18</v>
      </c>
      <c r="M2638" t="str">
        <f>"20160323"</f>
        <v>20160323</v>
      </c>
    </row>
    <row r="2639" spans="1:13" x14ac:dyDescent="0.25">
      <c r="A2639" t="str">
        <f>"00824528"</f>
        <v>00824528</v>
      </c>
      <c r="B2639" t="s">
        <v>3754</v>
      </c>
      <c r="C2639" t="s">
        <v>211</v>
      </c>
      <c r="D2639" t="s">
        <v>61</v>
      </c>
      <c r="E2639" t="s">
        <v>16</v>
      </c>
      <c r="F2639" t="s">
        <v>17</v>
      </c>
      <c r="G2639" t="str">
        <f>"03"</f>
        <v>03</v>
      </c>
      <c r="H2639" t="str">
        <f>"3  "</f>
        <v xml:space="preserve">3  </v>
      </c>
      <c r="I2639" t="str">
        <f>"2017/06/08"</f>
        <v>2017/06/08</v>
      </c>
      <c r="J2639" t="str">
        <f>"110"</f>
        <v>110</v>
      </c>
      <c r="K2639" t="str">
        <f>"20391114"</f>
        <v>20391114</v>
      </c>
      <c r="L2639" t="s">
        <v>18</v>
      </c>
      <c r="M2639" t="str">
        <f>"20161201"</f>
        <v>20161201</v>
      </c>
    </row>
    <row r="2640" spans="1:13" x14ac:dyDescent="0.25">
      <c r="A2640" t="str">
        <f>"00895253"</f>
        <v>00895253</v>
      </c>
      <c r="B2640" t="s">
        <v>3756</v>
      </c>
      <c r="C2640" t="s">
        <v>568</v>
      </c>
      <c r="D2640" t="s">
        <v>25</v>
      </c>
      <c r="E2640" t="s">
        <v>16</v>
      </c>
      <c r="F2640" t="s">
        <v>17</v>
      </c>
      <c r="G2640" t="str">
        <f>"03"</f>
        <v>03</v>
      </c>
      <c r="H2640" t="str">
        <f>"3  "</f>
        <v xml:space="preserve">3  </v>
      </c>
      <c r="I2640" t="str">
        <f>"2020/08/26"</f>
        <v>2020/08/26</v>
      </c>
      <c r="J2640" t="str">
        <f>"502"</f>
        <v>502</v>
      </c>
      <c r="K2640" t="str">
        <f>"20210723"</f>
        <v>20210723</v>
      </c>
      <c r="L2640" t="s">
        <v>18</v>
      </c>
      <c r="M2640" t="str">
        <f>"20181201"</f>
        <v>20181201</v>
      </c>
    </row>
    <row r="2641" spans="1:13" x14ac:dyDescent="0.25">
      <c r="A2641" t="str">
        <f>"00500542"</f>
        <v>00500542</v>
      </c>
      <c r="B2641" t="s">
        <v>3762</v>
      </c>
      <c r="C2641" t="s">
        <v>348</v>
      </c>
      <c r="D2641" t="s">
        <v>15</v>
      </c>
      <c r="E2641" t="s">
        <v>16</v>
      </c>
      <c r="F2641" t="s">
        <v>17</v>
      </c>
      <c r="G2641" t="str">
        <f>"03"</f>
        <v>03</v>
      </c>
      <c r="H2641" t="str">
        <f>"1  "</f>
        <v xml:space="preserve">1  </v>
      </c>
      <c r="I2641" t="str">
        <f>"2020/08/27"</f>
        <v>2020/08/27</v>
      </c>
      <c r="J2641" t="str">
        <f>"512"</f>
        <v>512</v>
      </c>
      <c r="K2641" t="str">
        <f>"20201102"</f>
        <v>20201102</v>
      </c>
      <c r="L2641" t="s">
        <v>18</v>
      </c>
      <c r="M2641" t="str">
        <f>"20200811"</f>
        <v>20200811</v>
      </c>
    </row>
    <row r="2642" spans="1:13" x14ac:dyDescent="0.25">
      <c r="A2642" t="str">
        <f>"00251955"</f>
        <v>00251955</v>
      </c>
      <c r="B2642" t="s">
        <v>3770</v>
      </c>
      <c r="C2642" t="s">
        <v>3771</v>
      </c>
      <c r="D2642" t="s">
        <v>91</v>
      </c>
      <c r="E2642" t="s">
        <v>26</v>
      </c>
      <c r="F2642" t="s">
        <v>17</v>
      </c>
      <c r="G2642" t="str">
        <f>"03"</f>
        <v>03</v>
      </c>
      <c r="H2642" t="str">
        <f>"3  "</f>
        <v xml:space="preserve">3  </v>
      </c>
      <c r="I2642" t="str">
        <f>"2020/08/26"</f>
        <v>2020/08/26</v>
      </c>
      <c r="J2642" t="str">
        <f>"502"</f>
        <v>502</v>
      </c>
      <c r="K2642" t="str">
        <f>"20291220"</f>
        <v>20291220</v>
      </c>
      <c r="L2642" t="s">
        <v>18</v>
      </c>
      <c r="M2642" t="str">
        <f>"20071203"</f>
        <v>20071203</v>
      </c>
    </row>
    <row r="2643" spans="1:13" x14ac:dyDescent="0.25">
      <c r="A2643" t="str">
        <f>"00931420"</f>
        <v>00931420</v>
      </c>
      <c r="B2643" t="s">
        <v>3772</v>
      </c>
      <c r="C2643" t="s">
        <v>22</v>
      </c>
      <c r="D2643" t="s">
        <v>25</v>
      </c>
      <c r="E2643" t="s">
        <v>16</v>
      </c>
      <c r="F2643" t="s">
        <v>17</v>
      </c>
      <c r="G2643" t="str">
        <f>"03"</f>
        <v>03</v>
      </c>
      <c r="H2643" t="str">
        <f>"3  "</f>
        <v xml:space="preserve">3  </v>
      </c>
      <c r="I2643" t="str">
        <f>"2020/06/15"</f>
        <v>2020/06/15</v>
      </c>
      <c r="J2643" t="str">
        <f>"110"</f>
        <v>110</v>
      </c>
      <c r="K2643" t="str">
        <f>"20230108"</f>
        <v>20230108</v>
      </c>
      <c r="L2643" t="s">
        <v>18</v>
      </c>
      <c r="M2643" t="str">
        <f>"20200108"</f>
        <v>20200108</v>
      </c>
    </row>
    <row r="2644" spans="1:13" x14ac:dyDescent="0.25">
      <c r="A2644" t="str">
        <f>"00283118"</f>
        <v>00283118</v>
      </c>
      <c r="B2644" t="s">
        <v>3773</v>
      </c>
      <c r="C2644" t="s">
        <v>3243</v>
      </c>
      <c r="D2644" t="s">
        <v>45</v>
      </c>
      <c r="E2644" t="s">
        <v>26</v>
      </c>
      <c r="F2644" t="s">
        <v>17</v>
      </c>
      <c r="G2644" t="str">
        <f>"03"</f>
        <v>03</v>
      </c>
      <c r="H2644" t="str">
        <f>"7  "</f>
        <v xml:space="preserve">7  </v>
      </c>
      <c r="I2644" t="str">
        <f>"2014/08/12"</f>
        <v>2014/08/12</v>
      </c>
      <c r="J2644" t="str">
        <f>"110"</f>
        <v>110</v>
      </c>
      <c r="K2644" t="s">
        <v>18</v>
      </c>
      <c r="L2644" t="s">
        <v>18</v>
      </c>
      <c r="M2644" t="str">
        <f>"20130814"</f>
        <v>20130814</v>
      </c>
    </row>
    <row r="2645" spans="1:13" x14ac:dyDescent="0.25">
      <c r="A2645" t="str">
        <f>"00438265"</f>
        <v>00438265</v>
      </c>
      <c r="B2645" t="s">
        <v>3775</v>
      </c>
      <c r="C2645" t="s">
        <v>3776</v>
      </c>
      <c r="D2645" t="s">
        <v>45</v>
      </c>
      <c r="E2645" t="s">
        <v>16</v>
      </c>
      <c r="F2645" t="s">
        <v>17</v>
      </c>
      <c r="G2645" t="str">
        <f>"03"</f>
        <v>03</v>
      </c>
      <c r="H2645" t="str">
        <f>"0  "</f>
        <v xml:space="preserve">0  </v>
      </c>
      <c r="I2645" t="str">
        <f>"2019/09/06"</f>
        <v>2019/09/06</v>
      </c>
      <c r="J2645" t="str">
        <f>"410"</f>
        <v>410</v>
      </c>
      <c r="K2645" t="s">
        <v>18</v>
      </c>
      <c r="L2645" t="s">
        <v>18</v>
      </c>
      <c r="M2645" t="s">
        <v>18</v>
      </c>
    </row>
    <row r="2646" spans="1:13" x14ac:dyDescent="0.25">
      <c r="A2646" t="str">
        <f>"00748451"</f>
        <v>00748451</v>
      </c>
      <c r="B2646" t="s">
        <v>3777</v>
      </c>
      <c r="C2646" t="s">
        <v>1175</v>
      </c>
      <c r="D2646" t="s">
        <v>80</v>
      </c>
      <c r="E2646" t="s">
        <v>16</v>
      </c>
      <c r="F2646" t="s">
        <v>17</v>
      </c>
      <c r="G2646" t="str">
        <f>"03"</f>
        <v>03</v>
      </c>
      <c r="H2646" t="str">
        <f>"0  "</f>
        <v xml:space="preserve">0  </v>
      </c>
      <c r="I2646" t="str">
        <f>"2020/06/10"</f>
        <v>2020/06/10</v>
      </c>
      <c r="J2646" t="str">
        <f>"410"</f>
        <v>410</v>
      </c>
      <c r="K2646" t="s">
        <v>18</v>
      </c>
      <c r="L2646" t="s">
        <v>18</v>
      </c>
      <c r="M2646" t="s">
        <v>18</v>
      </c>
    </row>
    <row r="2647" spans="1:13" x14ac:dyDescent="0.25">
      <c r="A2647" t="str">
        <f>"00650539"</f>
        <v>00650539</v>
      </c>
      <c r="B2647" t="s">
        <v>3782</v>
      </c>
      <c r="C2647" t="s">
        <v>140</v>
      </c>
      <c r="D2647" t="s">
        <v>15</v>
      </c>
      <c r="E2647" t="s">
        <v>16</v>
      </c>
      <c r="F2647" t="s">
        <v>17</v>
      </c>
      <c r="G2647" t="str">
        <f>"03"</f>
        <v>03</v>
      </c>
      <c r="H2647" t="str">
        <f>"0  "</f>
        <v xml:space="preserve">0  </v>
      </c>
      <c r="I2647" t="str">
        <f>"2020/09/16"</f>
        <v>2020/09/16</v>
      </c>
      <c r="J2647" t="str">
        <f>"410"</f>
        <v>410</v>
      </c>
      <c r="K2647" t="s">
        <v>18</v>
      </c>
      <c r="L2647" t="s">
        <v>18</v>
      </c>
      <c r="M2647" t="s">
        <v>18</v>
      </c>
    </row>
    <row r="2648" spans="1:13" x14ac:dyDescent="0.25">
      <c r="A2648" t="str">
        <f>"00716177"</f>
        <v>00716177</v>
      </c>
      <c r="B2648" t="s">
        <v>3794</v>
      </c>
      <c r="C2648" t="s">
        <v>68</v>
      </c>
      <c r="D2648" t="s">
        <v>91</v>
      </c>
      <c r="E2648" t="s">
        <v>16</v>
      </c>
      <c r="F2648" t="s">
        <v>17</v>
      </c>
      <c r="G2648" t="str">
        <f>"03"</f>
        <v>03</v>
      </c>
      <c r="H2648" t="str">
        <f>"3  "</f>
        <v xml:space="preserve">3  </v>
      </c>
      <c r="I2648" t="str">
        <f>"2020/04/01"</f>
        <v>2020/04/01</v>
      </c>
      <c r="J2648" t="str">
        <f>"110"</f>
        <v>110</v>
      </c>
      <c r="K2648" t="str">
        <f>"20210327"</f>
        <v>20210327</v>
      </c>
      <c r="L2648" t="s">
        <v>18</v>
      </c>
      <c r="M2648" t="str">
        <f>"20200326"</f>
        <v>20200326</v>
      </c>
    </row>
    <row r="2649" spans="1:13" x14ac:dyDescent="0.25">
      <c r="A2649" t="str">
        <f>"00047330"</f>
        <v>00047330</v>
      </c>
      <c r="B2649" t="s">
        <v>3794</v>
      </c>
      <c r="C2649" t="s">
        <v>1453</v>
      </c>
      <c r="D2649" t="s">
        <v>45</v>
      </c>
      <c r="E2649" t="s">
        <v>26</v>
      </c>
      <c r="F2649" t="s">
        <v>17</v>
      </c>
      <c r="G2649" t="str">
        <f>"03"</f>
        <v>03</v>
      </c>
      <c r="H2649" t="str">
        <f>"3  "</f>
        <v xml:space="preserve">3  </v>
      </c>
      <c r="I2649" t="str">
        <f>"2020/07/24"</f>
        <v>2020/07/24</v>
      </c>
      <c r="J2649" t="str">
        <f>"502"</f>
        <v>502</v>
      </c>
      <c r="K2649" t="str">
        <f>"20211203"</f>
        <v>20211203</v>
      </c>
      <c r="L2649" t="s">
        <v>18</v>
      </c>
      <c r="M2649" t="str">
        <f>"20180812"</f>
        <v>20180812</v>
      </c>
    </row>
    <row r="2650" spans="1:13" x14ac:dyDescent="0.25">
      <c r="A2650" t="str">
        <f>"00626251"</f>
        <v>00626251</v>
      </c>
      <c r="B2650" t="s">
        <v>3794</v>
      </c>
      <c r="C2650" t="s">
        <v>398</v>
      </c>
      <c r="D2650" t="s">
        <v>53</v>
      </c>
      <c r="E2650" t="s">
        <v>16</v>
      </c>
      <c r="F2650" t="s">
        <v>17</v>
      </c>
      <c r="G2650" t="str">
        <f>"03"</f>
        <v>03</v>
      </c>
      <c r="H2650" t="str">
        <f>"3  "</f>
        <v xml:space="preserve">3  </v>
      </c>
      <c r="I2650" t="str">
        <f>"2018/05/17"</f>
        <v>2018/05/17</v>
      </c>
      <c r="J2650" t="str">
        <f>"110"</f>
        <v>110</v>
      </c>
      <c r="K2650" t="str">
        <f>"20230402"</f>
        <v>20230402</v>
      </c>
      <c r="L2650" t="s">
        <v>18</v>
      </c>
      <c r="M2650" t="str">
        <f>"20180115"</f>
        <v>20180115</v>
      </c>
    </row>
    <row r="2651" spans="1:13" x14ac:dyDescent="0.25">
      <c r="A2651" t="str">
        <f>"00771788"</f>
        <v>00771788</v>
      </c>
      <c r="B2651" t="s">
        <v>3794</v>
      </c>
      <c r="C2651" t="s">
        <v>942</v>
      </c>
      <c r="D2651" t="s">
        <v>25</v>
      </c>
      <c r="E2651" t="s">
        <v>26</v>
      </c>
      <c r="F2651" t="s">
        <v>17</v>
      </c>
      <c r="G2651" t="str">
        <f>"03"</f>
        <v>03</v>
      </c>
      <c r="H2651" t="str">
        <f>"3  "</f>
        <v xml:space="preserve">3  </v>
      </c>
      <c r="I2651" t="str">
        <f>"2020/09/10"</f>
        <v>2020/09/10</v>
      </c>
      <c r="J2651" t="str">
        <f>"502"</f>
        <v>502</v>
      </c>
      <c r="K2651" t="str">
        <f>"20230321"</f>
        <v>20230321</v>
      </c>
      <c r="L2651" t="s">
        <v>18</v>
      </c>
      <c r="M2651" t="str">
        <f>"20140706"</f>
        <v>20140706</v>
      </c>
    </row>
    <row r="2652" spans="1:13" x14ac:dyDescent="0.25">
      <c r="A2652" t="str">
        <f>"00351106"</f>
        <v>00351106</v>
      </c>
      <c r="B2652" t="s">
        <v>3805</v>
      </c>
      <c r="C2652" t="s">
        <v>767</v>
      </c>
      <c r="D2652" t="s">
        <v>61</v>
      </c>
      <c r="E2652" t="s">
        <v>16</v>
      </c>
      <c r="F2652" t="s">
        <v>17</v>
      </c>
      <c r="G2652" t="str">
        <f>"03"</f>
        <v>03</v>
      </c>
      <c r="H2652" t="str">
        <f>"0  "</f>
        <v xml:space="preserve">0  </v>
      </c>
      <c r="I2652" t="str">
        <f>"2020/09/03"</f>
        <v>2020/09/03</v>
      </c>
      <c r="J2652" t="str">
        <f>"410"</f>
        <v>410</v>
      </c>
      <c r="K2652" t="s">
        <v>18</v>
      </c>
      <c r="L2652" t="s">
        <v>18</v>
      </c>
      <c r="M2652" t="s">
        <v>18</v>
      </c>
    </row>
    <row r="2653" spans="1:13" x14ac:dyDescent="0.25">
      <c r="A2653" t="str">
        <f>"00478296"</f>
        <v>00478296</v>
      </c>
      <c r="B2653" t="s">
        <v>3812</v>
      </c>
      <c r="C2653" t="s">
        <v>244</v>
      </c>
      <c r="D2653" t="s">
        <v>25</v>
      </c>
      <c r="E2653" t="s">
        <v>26</v>
      </c>
      <c r="F2653" t="s">
        <v>17</v>
      </c>
      <c r="G2653" t="str">
        <f>"03"</f>
        <v>03</v>
      </c>
      <c r="H2653" t="str">
        <f>"3  "</f>
        <v xml:space="preserve">3  </v>
      </c>
      <c r="I2653" t="str">
        <f>"2017/04/07"</f>
        <v>2017/04/07</v>
      </c>
      <c r="J2653" t="str">
        <f>"110"</f>
        <v>110</v>
      </c>
      <c r="K2653" t="str">
        <f>"20201020"</f>
        <v>20201020</v>
      </c>
      <c r="L2653" t="s">
        <v>18</v>
      </c>
      <c r="M2653" t="str">
        <f>"20161005"</f>
        <v>20161005</v>
      </c>
    </row>
    <row r="2654" spans="1:13" x14ac:dyDescent="0.25">
      <c r="A2654" t="str">
        <f>"00467500"</f>
        <v>00467500</v>
      </c>
      <c r="B2654" t="s">
        <v>3812</v>
      </c>
      <c r="C2654" t="s">
        <v>687</v>
      </c>
      <c r="D2654" t="s">
        <v>45</v>
      </c>
      <c r="E2654" t="s">
        <v>16</v>
      </c>
      <c r="F2654" t="s">
        <v>17</v>
      </c>
      <c r="G2654" t="str">
        <f>"03"</f>
        <v>03</v>
      </c>
      <c r="H2654" t="str">
        <f>"3  "</f>
        <v xml:space="preserve">3  </v>
      </c>
      <c r="I2654" t="str">
        <f>"2010/03/05"</f>
        <v>2010/03/05</v>
      </c>
      <c r="J2654" t="str">
        <f>"110"</f>
        <v>110</v>
      </c>
      <c r="K2654" t="str">
        <f>"20350204"</f>
        <v>20350204</v>
      </c>
      <c r="L2654" t="s">
        <v>18</v>
      </c>
      <c r="M2654" t="str">
        <f>"20090522"</f>
        <v>20090522</v>
      </c>
    </row>
    <row r="2655" spans="1:13" x14ac:dyDescent="0.25">
      <c r="A2655" t="str">
        <f>"00227863"</f>
        <v>00227863</v>
      </c>
      <c r="B2655" t="s">
        <v>3813</v>
      </c>
      <c r="C2655" t="s">
        <v>3814</v>
      </c>
      <c r="D2655" t="s">
        <v>26</v>
      </c>
      <c r="E2655" t="s">
        <v>16</v>
      </c>
      <c r="F2655" t="s">
        <v>17</v>
      </c>
      <c r="G2655" t="str">
        <f>"03"</f>
        <v>03</v>
      </c>
      <c r="H2655" t="str">
        <f>"3  "</f>
        <v xml:space="preserve">3  </v>
      </c>
      <c r="I2655" t="str">
        <f>"2007/11/02"</f>
        <v>2007/11/02</v>
      </c>
      <c r="J2655" t="str">
        <f>"502"</f>
        <v>502</v>
      </c>
      <c r="K2655" t="str">
        <f>"20230601"</f>
        <v>20230601</v>
      </c>
      <c r="L2655" t="s">
        <v>18</v>
      </c>
      <c r="M2655" t="str">
        <f>"20070406"</f>
        <v>20070406</v>
      </c>
    </row>
    <row r="2656" spans="1:13" x14ac:dyDescent="0.25">
      <c r="A2656" t="str">
        <f>"00293293"</f>
        <v>00293293</v>
      </c>
      <c r="B2656" t="s">
        <v>3815</v>
      </c>
      <c r="C2656" t="s">
        <v>3816</v>
      </c>
      <c r="D2656" t="s">
        <v>25</v>
      </c>
      <c r="E2656" t="s">
        <v>26</v>
      </c>
      <c r="F2656" t="s">
        <v>17</v>
      </c>
      <c r="G2656" t="str">
        <f>"03"</f>
        <v>03</v>
      </c>
      <c r="H2656" t="str">
        <f>"0  "</f>
        <v xml:space="preserve">0  </v>
      </c>
      <c r="I2656" t="str">
        <f>"2018/12/28"</f>
        <v>2018/12/28</v>
      </c>
      <c r="J2656" t="str">
        <f>"420"</f>
        <v>420</v>
      </c>
      <c r="K2656" t="s">
        <v>18</v>
      </c>
      <c r="L2656" t="s">
        <v>18</v>
      </c>
      <c r="M2656" t="s">
        <v>18</v>
      </c>
    </row>
    <row r="2657" spans="1:13" x14ac:dyDescent="0.25">
      <c r="A2657" t="str">
        <f>"00360878"</f>
        <v>00360878</v>
      </c>
      <c r="B2657" t="s">
        <v>3820</v>
      </c>
      <c r="C2657" t="s">
        <v>3822</v>
      </c>
      <c r="D2657" t="s">
        <v>45</v>
      </c>
      <c r="E2657" t="s">
        <v>26</v>
      </c>
      <c r="F2657" t="s">
        <v>17</v>
      </c>
      <c r="G2657" t="str">
        <f>"03"</f>
        <v>03</v>
      </c>
      <c r="H2657" t="str">
        <f>"3  "</f>
        <v xml:space="preserve">3  </v>
      </c>
      <c r="I2657" t="str">
        <f>"2017/03/01"</f>
        <v>2017/03/01</v>
      </c>
      <c r="J2657" t="str">
        <f>"110"</f>
        <v>110</v>
      </c>
      <c r="K2657" t="str">
        <f>"20210417"</f>
        <v>20210417</v>
      </c>
      <c r="L2657" t="s">
        <v>18</v>
      </c>
      <c r="M2657" t="str">
        <f>"20161006"</f>
        <v>20161006</v>
      </c>
    </row>
    <row r="2658" spans="1:13" x14ac:dyDescent="0.25">
      <c r="A2658" t="str">
        <f>"00208301"</f>
        <v>00208301</v>
      </c>
      <c r="B2658" t="s">
        <v>3825</v>
      </c>
      <c r="C2658" t="s">
        <v>320</v>
      </c>
      <c r="D2658" t="s">
        <v>15</v>
      </c>
      <c r="E2658" t="s">
        <v>26</v>
      </c>
      <c r="F2658" t="s">
        <v>17</v>
      </c>
      <c r="G2658" t="str">
        <f>"03"</f>
        <v>03</v>
      </c>
      <c r="H2658" t="str">
        <f>"7  "</f>
        <v xml:space="preserve">7  </v>
      </c>
      <c r="I2658" t="str">
        <f>"2007/01/12"</f>
        <v>2007/01/12</v>
      </c>
      <c r="J2658" t="str">
        <f>"510"</f>
        <v>510</v>
      </c>
      <c r="K2658" t="s">
        <v>18</v>
      </c>
      <c r="L2658" t="s">
        <v>18</v>
      </c>
      <c r="M2658" t="str">
        <f>"20040720"</f>
        <v>20040720</v>
      </c>
    </row>
    <row r="2659" spans="1:13" x14ac:dyDescent="0.25">
      <c r="A2659" t="str">
        <f>"00591029"</f>
        <v>00591029</v>
      </c>
      <c r="B2659" t="s">
        <v>3825</v>
      </c>
      <c r="C2659" t="s">
        <v>512</v>
      </c>
      <c r="D2659" t="s">
        <v>113</v>
      </c>
      <c r="E2659" t="s">
        <v>26</v>
      </c>
      <c r="F2659" t="s">
        <v>17</v>
      </c>
      <c r="G2659" t="str">
        <f>"03"</f>
        <v>03</v>
      </c>
      <c r="H2659" t="str">
        <f>"3  "</f>
        <v xml:space="preserve">3  </v>
      </c>
      <c r="I2659" t="str">
        <f>"2020/08/26"</f>
        <v>2020/08/26</v>
      </c>
      <c r="J2659" t="str">
        <f>"502"</f>
        <v>502</v>
      </c>
      <c r="K2659" t="str">
        <f>"20250413"</f>
        <v>20250413</v>
      </c>
      <c r="L2659" t="s">
        <v>18</v>
      </c>
      <c r="M2659" t="str">
        <f>"20181212"</f>
        <v>20181212</v>
      </c>
    </row>
    <row r="2660" spans="1:13" x14ac:dyDescent="0.25">
      <c r="A2660" t="str">
        <f>"00334182"</f>
        <v>00334182</v>
      </c>
      <c r="B2660" t="s">
        <v>3830</v>
      </c>
      <c r="C2660" t="s">
        <v>532</v>
      </c>
      <c r="D2660" t="s">
        <v>51</v>
      </c>
      <c r="E2660" t="s">
        <v>26</v>
      </c>
      <c r="F2660" t="s">
        <v>17</v>
      </c>
      <c r="G2660" t="str">
        <f>"03"</f>
        <v>03</v>
      </c>
      <c r="H2660" t="str">
        <f>"3  "</f>
        <v xml:space="preserve">3  </v>
      </c>
      <c r="I2660" t="str">
        <f>"2018/10/12"</f>
        <v>2018/10/12</v>
      </c>
      <c r="J2660" t="str">
        <f>"110"</f>
        <v>110</v>
      </c>
      <c r="K2660" t="str">
        <f>"20210326"</f>
        <v>20210326</v>
      </c>
      <c r="L2660" t="s">
        <v>18</v>
      </c>
      <c r="M2660" t="str">
        <f>"20180921"</f>
        <v>20180921</v>
      </c>
    </row>
    <row r="2661" spans="1:13" x14ac:dyDescent="0.25">
      <c r="A2661" t="str">
        <f>"00521302"</f>
        <v>00521302</v>
      </c>
      <c r="B2661" t="s">
        <v>3839</v>
      </c>
      <c r="C2661" t="s">
        <v>244</v>
      </c>
      <c r="D2661" t="s">
        <v>51</v>
      </c>
      <c r="E2661" t="s">
        <v>26</v>
      </c>
      <c r="F2661" t="s">
        <v>17</v>
      </c>
      <c r="G2661" t="str">
        <f>"03"</f>
        <v>03</v>
      </c>
      <c r="H2661" t="str">
        <f>"0  "</f>
        <v xml:space="preserve">0  </v>
      </c>
      <c r="I2661" t="str">
        <f>"2019/06/07"</f>
        <v>2019/06/07</v>
      </c>
      <c r="J2661" t="str">
        <f>"410"</f>
        <v>410</v>
      </c>
      <c r="K2661" t="s">
        <v>18</v>
      </c>
      <c r="L2661" t="s">
        <v>18</v>
      </c>
      <c r="M2661" t="s">
        <v>18</v>
      </c>
    </row>
    <row r="2662" spans="1:13" x14ac:dyDescent="0.25">
      <c r="A2662" t="str">
        <f>"00474141"</f>
        <v>00474141</v>
      </c>
      <c r="B2662" t="s">
        <v>3839</v>
      </c>
      <c r="C2662" t="s">
        <v>302</v>
      </c>
      <c r="D2662" t="s">
        <v>51</v>
      </c>
      <c r="E2662" t="s">
        <v>26</v>
      </c>
      <c r="F2662" t="s">
        <v>17</v>
      </c>
      <c r="G2662" t="str">
        <f>"03"</f>
        <v>03</v>
      </c>
      <c r="H2662" t="str">
        <f>"3  "</f>
        <v xml:space="preserve">3  </v>
      </c>
      <c r="I2662" t="str">
        <f>"2020/05/08"</f>
        <v>2020/05/08</v>
      </c>
      <c r="J2662" t="str">
        <f>"120"</f>
        <v>120</v>
      </c>
      <c r="K2662" t="str">
        <f>"20220831"</f>
        <v>20220831</v>
      </c>
      <c r="L2662" t="s">
        <v>18</v>
      </c>
      <c r="M2662" t="str">
        <f>"20200506"</f>
        <v>20200506</v>
      </c>
    </row>
    <row r="2663" spans="1:13" x14ac:dyDescent="0.25">
      <c r="A2663" t="str">
        <f>"00210288"</f>
        <v>00210288</v>
      </c>
      <c r="B2663" t="s">
        <v>3839</v>
      </c>
      <c r="C2663" t="s">
        <v>133</v>
      </c>
      <c r="D2663" t="s">
        <v>40</v>
      </c>
      <c r="E2663" t="s">
        <v>26</v>
      </c>
      <c r="F2663" t="s">
        <v>17</v>
      </c>
      <c r="G2663" t="str">
        <f>"03"</f>
        <v>03</v>
      </c>
      <c r="H2663" t="str">
        <f>"3  "</f>
        <v xml:space="preserve">3  </v>
      </c>
      <c r="I2663" t="str">
        <f>"2019/04/30"</f>
        <v>2019/04/30</v>
      </c>
      <c r="J2663" t="str">
        <f>"110"</f>
        <v>110</v>
      </c>
      <c r="K2663" t="str">
        <f>"20210626"</f>
        <v>20210626</v>
      </c>
      <c r="L2663" t="s">
        <v>18</v>
      </c>
      <c r="M2663" t="str">
        <f>"20181029"</f>
        <v>20181029</v>
      </c>
    </row>
    <row r="2664" spans="1:13" x14ac:dyDescent="0.25">
      <c r="A2664" t="str">
        <f>"00512238"</f>
        <v>00512238</v>
      </c>
      <c r="B2664" t="s">
        <v>3839</v>
      </c>
      <c r="C2664" t="s">
        <v>944</v>
      </c>
      <c r="D2664" t="s">
        <v>40</v>
      </c>
      <c r="E2664" t="s">
        <v>26</v>
      </c>
      <c r="F2664" t="s">
        <v>17</v>
      </c>
      <c r="G2664" t="str">
        <f>"03"</f>
        <v>03</v>
      </c>
      <c r="H2664" t="str">
        <f>"0  "</f>
        <v xml:space="preserve">0  </v>
      </c>
      <c r="I2664" t="str">
        <f>"2020/09/17"</f>
        <v>2020/09/17</v>
      </c>
      <c r="J2664" t="str">
        <f>"410"</f>
        <v>410</v>
      </c>
      <c r="K2664" t="s">
        <v>18</v>
      </c>
      <c r="L2664" t="s">
        <v>18</v>
      </c>
      <c r="M2664" t="s">
        <v>18</v>
      </c>
    </row>
    <row r="2665" spans="1:13" x14ac:dyDescent="0.25">
      <c r="A2665" t="str">
        <f>"00911750"</f>
        <v>00911750</v>
      </c>
      <c r="B2665" t="s">
        <v>3843</v>
      </c>
      <c r="C2665" t="s">
        <v>3844</v>
      </c>
      <c r="D2665" t="s">
        <v>80</v>
      </c>
      <c r="E2665" t="s">
        <v>26</v>
      </c>
      <c r="F2665" t="s">
        <v>17</v>
      </c>
      <c r="G2665" t="str">
        <f>"03"</f>
        <v>03</v>
      </c>
      <c r="H2665" t="str">
        <f>"0  "</f>
        <v xml:space="preserve">0  </v>
      </c>
      <c r="I2665" t="str">
        <f>"2020/09/22"</f>
        <v>2020/09/22</v>
      </c>
      <c r="J2665" t="str">
        <f>"410"</f>
        <v>410</v>
      </c>
      <c r="K2665" t="s">
        <v>18</v>
      </c>
      <c r="L2665" t="s">
        <v>18</v>
      </c>
      <c r="M2665" t="s">
        <v>18</v>
      </c>
    </row>
    <row r="2666" spans="1:13" x14ac:dyDescent="0.25">
      <c r="A2666" t="str">
        <f>"00809269"</f>
        <v>00809269</v>
      </c>
      <c r="B2666" t="s">
        <v>3847</v>
      </c>
      <c r="C2666" t="s">
        <v>3850</v>
      </c>
      <c r="D2666" t="s">
        <v>25</v>
      </c>
      <c r="E2666" t="s">
        <v>26</v>
      </c>
      <c r="F2666" t="s">
        <v>17</v>
      </c>
      <c r="G2666" t="str">
        <f>"03"</f>
        <v>03</v>
      </c>
      <c r="H2666" t="str">
        <f>"0  "</f>
        <v xml:space="preserve">0  </v>
      </c>
      <c r="I2666" t="str">
        <f>"2020/02/25"</f>
        <v>2020/02/25</v>
      </c>
      <c r="J2666" t="str">
        <f>"410"</f>
        <v>410</v>
      </c>
      <c r="K2666" t="s">
        <v>18</v>
      </c>
      <c r="L2666" t="s">
        <v>18</v>
      </c>
      <c r="M2666" t="s">
        <v>18</v>
      </c>
    </row>
    <row r="2667" spans="1:13" x14ac:dyDescent="0.25">
      <c r="A2667" t="str">
        <f>"00769224"</f>
        <v>00769224</v>
      </c>
      <c r="B2667" t="s">
        <v>3847</v>
      </c>
      <c r="C2667" t="s">
        <v>3854</v>
      </c>
      <c r="D2667" t="s">
        <v>21</v>
      </c>
      <c r="E2667" t="s">
        <v>26</v>
      </c>
      <c r="F2667" t="s">
        <v>17</v>
      </c>
      <c r="G2667" t="str">
        <f>"03"</f>
        <v>03</v>
      </c>
      <c r="H2667" t="str">
        <f>"1  "</f>
        <v xml:space="preserve">1  </v>
      </c>
      <c r="I2667" t="str">
        <f>"2019/12/23"</f>
        <v>2019/12/23</v>
      </c>
      <c r="J2667" t="str">
        <f>"512"</f>
        <v>512</v>
      </c>
      <c r="K2667" t="str">
        <f>"20201009"</f>
        <v>20201009</v>
      </c>
      <c r="L2667" t="s">
        <v>18</v>
      </c>
      <c r="M2667" t="str">
        <f>"20191207"</f>
        <v>20191207</v>
      </c>
    </row>
    <row r="2668" spans="1:13" x14ac:dyDescent="0.25">
      <c r="A2668" t="str">
        <f>"00163542"</f>
        <v>00163542</v>
      </c>
      <c r="B2668" t="s">
        <v>3847</v>
      </c>
      <c r="C2668" t="s">
        <v>563</v>
      </c>
      <c r="D2668" t="s">
        <v>25</v>
      </c>
      <c r="E2668" t="s">
        <v>26</v>
      </c>
      <c r="F2668" t="s">
        <v>17</v>
      </c>
      <c r="G2668" t="str">
        <f>"03"</f>
        <v>03</v>
      </c>
      <c r="H2668" t="str">
        <f>"7  "</f>
        <v xml:space="preserve">7  </v>
      </c>
      <c r="I2668" t="str">
        <f>"2019/10/14"</f>
        <v>2019/10/14</v>
      </c>
      <c r="J2668" t="str">
        <f>"320"</f>
        <v>320</v>
      </c>
      <c r="K2668" t="s">
        <v>18</v>
      </c>
      <c r="L2668" t="str">
        <f>"20200913"</f>
        <v>20200913</v>
      </c>
      <c r="M2668" t="str">
        <f>"20190529"</f>
        <v>20190529</v>
      </c>
    </row>
    <row r="2669" spans="1:13" x14ac:dyDescent="0.25">
      <c r="A2669" t="str">
        <f>"00143935"</f>
        <v>00143935</v>
      </c>
      <c r="B2669" t="s">
        <v>3847</v>
      </c>
      <c r="C2669" t="s">
        <v>169</v>
      </c>
      <c r="D2669" t="s">
        <v>21</v>
      </c>
      <c r="E2669" t="s">
        <v>26</v>
      </c>
      <c r="F2669" t="s">
        <v>17</v>
      </c>
      <c r="G2669" t="str">
        <f>"03"</f>
        <v>03</v>
      </c>
      <c r="H2669" t="str">
        <f>"3  "</f>
        <v xml:space="preserve">3  </v>
      </c>
      <c r="I2669" t="str">
        <f>"2019/09/30"</f>
        <v>2019/09/30</v>
      </c>
      <c r="J2669" t="str">
        <f>"110"</f>
        <v>110</v>
      </c>
      <c r="K2669" t="str">
        <f>"20210131"</f>
        <v>20210131</v>
      </c>
      <c r="L2669" t="s">
        <v>18</v>
      </c>
      <c r="M2669" t="str">
        <f>"20190930"</f>
        <v>20190930</v>
      </c>
    </row>
    <row r="2670" spans="1:13" x14ac:dyDescent="0.25">
      <c r="A2670" t="str">
        <f>"00551954"</f>
        <v>00551954</v>
      </c>
      <c r="B2670" t="s">
        <v>3863</v>
      </c>
      <c r="C2670" t="s">
        <v>72</v>
      </c>
      <c r="D2670" t="s">
        <v>53</v>
      </c>
      <c r="E2670" t="s">
        <v>26</v>
      </c>
      <c r="F2670" t="s">
        <v>17</v>
      </c>
      <c r="G2670" t="str">
        <f>"03"</f>
        <v>03</v>
      </c>
      <c r="H2670" t="str">
        <f>"3  "</f>
        <v xml:space="preserve">3  </v>
      </c>
      <c r="I2670" t="str">
        <f>"2019/08/30"</f>
        <v>2019/08/30</v>
      </c>
      <c r="J2670" t="str">
        <f>"110"</f>
        <v>110</v>
      </c>
      <c r="K2670" t="str">
        <f>"20230819"</f>
        <v>20230819</v>
      </c>
      <c r="L2670" t="s">
        <v>18</v>
      </c>
      <c r="M2670" t="str">
        <f>"20190215"</f>
        <v>20190215</v>
      </c>
    </row>
    <row r="2671" spans="1:13" x14ac:dyDescent="0.25">
      <c r="A2671" t="str">
        <f>"00369274"</f>
        <v>00369274</v>
      </c>
      <c r="B2671" t="s">
        <v>3863</v>
      </c>
      <c r="C2671" t="s">
        <v>1682</v>
      </c>
      <c r="D2671" t="s">
        <v>45</v>
      </c>
      <c r="E2671" t="s">
        <v>26</v>
      </c>
      <c r="F2671" t="s">
        <v>17</v>
      </c>
      <c r="G2671" t="str">
        <f>"03"</f>
        <v>03</v>
      </c>
      <c r="H2671" t="str">
        <f>"0  "</f>
        <v xml:space="preserve">0  </v>
      </c>
      <c r="I2671" t="str">
        <f>"2019/07/24"</f>
        <v>2019/07/24</v>
      </c>
      <c r="J2671" t="str">
        <f>"410"</f>
        <v>410</v>
      </c>
      <c r="K2671" t="s">
        <v>18</v>
      </c>
      <c r="L2671" t="s">
        <v>18</v>
      </c>
      <c r="M2671" t="s">
        <v>18</v>
      </c>
    </row>
    <row r="2672" spans="1:13" x14ac:dyDescent="0.25">
      <c r="A2672" t="str">
        <f>"00524736"</f>
        <v>00524736</v>
      </c>
      <c r="B2672" t="s">
        <v>3865</v>
      </c>
      <c r="C2672" t="s">
        <v>135</v>
      </c>
      <c r="D2672" t="s">
        <v>15</v>
      </c>
      <c r="E2672" t="s">
        <v>26</v>
      </c>
      <c r="F2672" t="s">
        <v>17</v>
      </c>
      <c r="G2672" t="str">
        <f>"03"</f>
        <v>03</v>
      </c>
      <c r="H2672" t="str">
        <f>"3  "</f>
        <v xml:space="preserve">3  </v>
      </c>
      <c r="I2672" t="str">
        <f>"2017/12/14"</f>
        <v>2017/12/14</v>
      </c>
      <c r="J2672" t="str">
        <f>"110"</f>
        <v>110</v>
      </c>
      <c r="K2672" t="str">
        <f>"20270820"</f>
        <v>20270820</v>
      </c>
      <c r="L2672" t="s">
        <v>18</v>
      </c>
      <c r="M2672" t="str">
        <f>"20161105"</f>
        <v>20161105</v>
      </c>
    </row>
    <row r="2673" spans="1:13" x14ac:dyDescent="0.25">
      <c r="A2673" t="str">
        <f>"00169215"</f>
        <v>00169215</v>
      </c>
      <c r="B2673" t="s">
        <v>3866</v>
      </c>
      <c r="C2673" t="s">
        <v>55</v>
      </c>
      <c r="D2673" t="s">
        <v>40</v>
      </c>
      <c r="E2673" t="s">
        <v>16</v>
      </c>
      <c r="F2673" t="s">
        <v>17</v>
      </c>
      <c r="G2673" t="str">
        <f>"03"</f>
        <v>03</v>
      </c>
      <c r="H2673" t="str">
        <f>"3  "</f>
        <v xml:space="preserve">3  </v>
      </c>
      <c r="I2673" t="str">
        <f>"2020/09/10"</f>
        <v>2020/09/10</v>
      </c>
      <c r="J2673" t="str">
        <f>"502"</f>
        <v>502</v>
      </c>
      <c r="K2673" t="str">
        <f>"20201027"</f>
        <v>20201027</v>
      </c>
      <c r="L2673" t="s">
        <v>18</v>
      </c>
      <c r="M2673" t="str">
        <f>"20190827"</f>
        <v>20190827</v>
      </c>
    </row>
    <row r="2674" spans="1:13" x14ac:dyDescent="0.25">
      <c r="A2674" t="str">
        <f>"00470222"</f>
        <v>00470222</v>
      </c>
      <c r="B2674" t="s">
        <v>3866</v>
      </c>
      <c r="C2674" t="s">
        <v>1677</v>
      </c>
      <c r="D2674" t="s">
        <v>61</v>
      </c>
      <c r="E2674" t="s">
        <v>26</v>
      </c>
      <c r="F2674" t="s">
        <v>17</v>
      </c>
      <c r="G2674" t="str">
        <f>"03"</f>
        <v>03</v>
      </c>
      <c r="H2674" t="str">
        <f>"3  "</f>
        <v xml:space="preserve">3  </v>
      </c>
      <c r="I2674" t="str">
        <f>"2020/01/22"</f>
        <v>2020/01/22</v>
      </c>
      <c r="J2674" t="str">
        <f>"110"</f>
        <v>110</v>
      </c>
      <c r="K2674" t="str">
        <f>"20201007"</f>
        <v>20201007</v>
      </c>
      <c r="L2674" t="s">
        <v>18</v>
      </c>
      <c r="M2674" t="str">
        <f>"20190528"</f>
        <v>20190528</v>
      </c>
    </row>
    <row r="2675" spans="1:13" x14ac:dyDescent="0.25">
      <c r="A2675" t="str">
        <f>"00436730"</f>
        <v>00436730</v>
      </c>
      <c r="B2675" t="s">
        <v>3873</v>
      </c>
      <c r="C2675" t="s">
        <v>1189</v>
      </c>
      <c r="D2675" t="s">
        <v>25</v>
      </c>
      <c r="E2675" t="s">
        <v>26</v>
      </c>
      <c r="F2675" t="s">
        <v>17</v>
      </c>
      <c r="G2675" t="str">
        <f>"03"</f>
        <v>03</v>
      </c>
      <c r="H2675" t="str">
        <f>"0  "</f>
        <v xml:space="preserve">0  </v>
      </c>
      <c r="I2675" t="str">
        <f>"2020/04/27"</f>
        <v>2020/04/27</v>
      </c>
      <c r="J2675" t="str">
        <f>"410"</f>
        <v>410</v>
      </c>
      <c r="K2675" t="s">
        <v>18</v>
      </c>
      <c r="L2675" t="s">
        <v>18</v>
      </c>
      <c r="M2675" t="s">
        <v>18</v>
      </c>
    </row>
    <row r="2676" spans="1:13" x14ac:dyDescent="0.25">
      <c r="A2676" t="str">
        <f>"00244084"</f>
        <v>00244084</v>
      </c>
      <c r="B2676" t="s">
        <v>3875</v>
      </c>
      <c r="C2676" t="s">
        <v>176</v>
      </c>
      <c r="D2676" t="s">
        <v>25</v>
      </c>
      <c r="E2676" t="s">
        <v>16</v>
      </c>
      <c r="F2676" t="s">
        <v>17</v>
      </c>
      <c r="G2676" t="str">
        <f>"03"</f>
        <v>03</v>
      </c>
      <c r="H2676" t="str">
        <f>"0  "</f>
        <v xml:space="preserve">0  </v>
      </c>
      <c r="I2676" t="str">
        <f>"2020/09/19"</f>
        <v>2020/09/19</v>
      </c>
      <c r="J2676" t="str">
        <f>"410"</f>
        <v>410</v>
      </c>
      <c r="K2676" t="s">
        <v>18</v>
      </c>
      <c r="L2676" t="s">
        <v>18</v>
      </c>
      <c r="M2676" t="s">
        <v>18</v>
      </c>
    </row>
    <row r="2677" spans="1:13" x14ac:dyDescent="0.25">
      <c r="A2677" t="str">
        <f>"00856584"</f>
        <v>00856584</v>
      </c>
      <c r="B2677" t="s">
        <v>3880</v>
      </c>
      <c r="C2677" t="s">
        <v>1314</v>
      </c>
      <c r="D2677" t="s">
        <v>37</v>
      </c>
      <c r="E2677" t="s">
        <v>16</v>
      </c>
      <c r="F2677" t="s">
        <v>17</v>
      </c>
      <c r="G2677" t="str">
        <f>"03"</f>
        <v>03</v>
      </c>
      <c r="H2677" t="str">
        <f>"3  "</f>
        <v xml:space="preserve">3  </v>
      </c>
      <c r="I2677" t="str">
        <f>"2019/01/15"</f>
        <v>2019/01/15</v>
      </c>
      <c r="J2677" t="str">
        <f>"110"</f>
        <v>110</v>
      </c>
      <c r="K2677" t="str">
        <f>"20470119"</f>
        <v>20470119</v>
      </c>
      <c r="L2677" t="s">
        <v>18</v>
      </c>
      <c r="M2677" t="str">
        <f>"20170601"</f>
        <v>20170601</v>
      </c>
    </row>
    <row r="2678" spans="1:13" x14ac:dyDescent="0.25">
      <c r="A2678" t="str">
        <f>"00476572"</f>
        <v>00476572</v>
      </c>
      <c r="B2678" t="s">
        <v>3885</v>
      </c>
      <c r="C2678" t="s">
        <v>96</v>
      </c>
      <c r="D2678" t="s">
        <v>15</v>
      </c>
      <c r="E2678" t="s">
        <v>16</v>
      </c>
      <c r="F2678" t="s">
        <v>17</v>
      </c>
      <c r="G2678" t="str">
        <f>"03"</f>
        <v>03</v>
      </c>
      <c r="H2678" t="str">
        <f>"3  "</f>
        <v xml:space="preserve">3  </v>
      </c>
      <c r="I2678" t="str">
        <f>"2020/09/03"</f>
        <v>2020/09/03</v>
      </c>
      <c r="J2678" t="str">
        <f>"110"</f>
        <v>110</v>
      </c>
      <c r="K2678" t="str">
        <f>"20220302"</f>
        <v>20220302</v>
      </c>
      <c r="L2678" t="s">
        <v>18</v>
      </c>
      <c r="M2678" t="str">
        <f>"20200903"</f>
        <v>20200903</v>
      </c>
    </row>
    <row r="2679" spans="1:13" x14ac:dyDescent="0.25">
      <c r="A2679" t="str">
        <f>"00455901"</f>
        <v>00455901</v>
      </c>
      <c r="B2679" t="s">
        <v>3889</v>
      </c>
      <c r="C2679" t="s">
        <v>244</v>
      </c>
      <c r="D2679" t="s">
        <v>121</v>
      </c>
      <c r="E2679" t="s">
        <v>26</v>
      </c>
      <c r="F2679" t="s">
        <v>17</v>
      </c>
      <c r="G2679" t="str">
        <f>"03"</f>
        <v>03</v>
      </c>
      <c r="H2679" t="str">
        <f>"0  "</f>
        <v xml:space="preserve">0  </v>
      </c>
      <c r="I2679" t="str">
        <f>"2020/09/22"</f>
        <v>2020/09/22</v>
      </c>
      <c r="J2679" t="str">
        <f>"420"</f>
        <v>420</v>
      </c>
      <c r="K2679" t="s">
        <v>18</v>
      </c>
      <c r="L2679" t="s">
        <v>18</v>
      </c>
      <c r="M2679" t="s">
        <v>18</v>
      </c>
    </row>
    <row r="2680" spans="1:13" x14ac:dyDescent="0.25">
      <c r="A2680" t="str">
        <f>"00807686"</f>
        <v>00807686</v>
      </c>
      <c r="B2680" t="s">
        <v>3892</v>
      </c>
      <c r="C2680" t="s">
        <v>118</v>
      </c>
      <c r="D2680" t="s">
        <v>215</v>
      </c>
      <c r="E2680" t="s">
        <v>16</v>
      </c>
      <c r="F2680" t="s">
        <v>17</v>
      </c>
      <c r="G2680" t="str">
        <f>"03"</f>
        <v>03</v>
      </c>
      <c r="H2680" t="str">
        <f>"3  "</f>
        <v xml:space="preserve">3  </v>
      </c>
      <c r="I2680" t="str">
        <f>"2019/04/02"</f>
        <v>2019/04/02</v>
      </c>
      <c r="J2680" t="str">
        <f>"120"</f>
        <v>120</v>
      </c>
      <c r="K2680" t="str">
        <f>"20201207"</f>
        <v>20201207</v>
      </c>
      <c r="L2680" t="s">
        <v>18</v>
      </c>
      <c r="M2680" t="str">
        <f>"20190402"</f>
        <v>20190402</v>
      </c>
    </row>
    <row r="2681" spans="1:13" x14ac:dyDescent="0.25">
      <c r="A2681" t="str">
        <f>"00363203"</f>
        <v>00363203</v>
      </c>
      <c r="B2681" t="s">
        <v>3892</v>
      </c>
      <c r="C2681" t="s">
        <v>96</v>
      </c>
      <c r="D2681" t="s">
        <v>45</v>
      </c>
      <c r="E2681" t="s">
        <v>26</v>
      </c>
      <c r="F2681" t="s">
        <v>17</v>
      </c>
      <c r="G2681" t="str">
        <f>"03"</f>
        <v>03</v>
      </c>
      <c r="H2681" t="str">
        <f>"0  "</f>
        <v xml:space="preserve">0  </v>
      </c>
      <c r="I2681" t="str">
        <f>"2019/05/09"</f>
        <v>2019/05/09</v>
      </c>
      <c r="J2681" t="str">
        <f>"410"</f>
        <v>410</v>
      </c>
      <c r="K2681" t="s">
        <v>18</v>
      </c>
      <c r="L2681" t="s">
        <v>18</v>
      </c>
      <c r="M2681" t="s">
        <v>18</v>
      </c>
    </row>
    <row r="2682" spans="1:13" x14ac:dyDescent="0.25">
      <c r="A2682" t="str">
        <f>"00323977"</f>
        <v>00323977</v>
      </c>
      <c r="B2682" t="s">
        <v>3894</v>
      </c>
      <c r="C2682" t="s">
        <v>3895</v>
      </c>
      <c r="D2682" t="s">
        <v>53</v>
      </c>
      <c r="E2682" t="s">
        <v>26</v>
      </c>
      <c r="F2682" t="s">
        <v>17</v>
      </c>
      <c r="G2682" t="str">
        <f>"03"</f>
        <v>03</v>
      </c>
      <c r="H2682" t="str">
        <f>"3  "</f>
        <v xml:space="preserve">3  </v>
      </c>
      <c r="I2682" t="str">
        <f>"2018/05/24"</f>
        <v>2018/05/24</v>
      </c>
      <c r="J2682" t="str">
        <f>"110"</f>
        <v>110</v>
      </c>
      <c r="K2682" t="str">
        <f>"20210704"</f>
        <v>20210704</v>
      </c>
      <c r="L2682" t="s">
        <v>18</v>
      </c>
      <c r="M2682" t="str">
        <f>"20171201"</f>
        <v>20171201</v>
      </c>
    </row>
    <row r="2683" spans="1:13" x14ac:dyDescent="0.25">
      <c r="A2683" t="str">
        <f>"00448902"</f>
        <v>00448902</v>
      </c>
      <c r="B2683" t="s">
        <v>3894</v>
      </c>
      <c r="C2683" t="s">
        <v>3896</v>
      </c>
      <c r="D2683" t="s">
        <v>16</v>
      </c>
      <c r="E2683" t="s">
        <v>26</v>
      </c>
      <c r="F2683" t="s">
        <v>17</v>
      </c>
      <c r="G2683" t="str">
        <f>"03"</f>
        <v>03</v>
      </c>
      <c r="H2683" t="str">
        <f>"3  "</f>
        <v xml:space="preserve">3  </v>
      </c>
      <c r="I2683" t="str">
        <f>"2019/08/30"</f>
        <v>2019/08/30</v>
      </c>
      <c r="J2683" t="str">
        <f>"512"</f>
        <v>512</v>
      </c>
      <c r="K2683" t="str">
        <f>"20201214"</f>
        <v>20201214</v>
      </c>
      <c r="L2683" t="s">
        <v>18</v>
      </c>
      <c r="M2683" t="str">
        <f>"20190827"</f>
        <v>20190827</v>
      </c>
    </row>
    <row r="2684" spans="1:13" x14ac:dyDescent="0.25">
      <c r="A2684" t="str">
        <f>"00620172"</f>
        <v>00620172</v>
      </c>
      <c r="B2684" t="s">
        <v>3897</v>
      </c>
      <c r="C2684" t="s">
        <v>384</v>
      </c>
      <c r="D2684" t="s">
        <v>80</v>
      </c>
      <c r="E2684" t="s">
        <v>16</v>
      </c>
      <c r="F2684" t="s">
        <v>17</v>
      </c>
      <c r="G2684" t="str">
        <f>"03"</f>
        <v>03</v>
      </c>
      <c r="H2684" t="str">
        <f>"0  "</f>
        <v xml:space="preserve">0  </v>
      </c>
      <c r="I2684" t="str">
        <f>"2020/08/25"</f>
        <v>2020/08/25</v>
      </c>
      <c r="J2684" t="str">
        <f>"410"</f>
        <v>410</v>
      </c>
      <c r="K2684" t="s">
        <v>18</v>
      </c>
      <c r="L2684" t="s">
        <v>18</v>
      </c>
      <c r="M2684" t="s">
        <v>18</v>
      </c>
    </row>
    <row r="2685" spans="1:13" x14ac:dyDescent="0.25">
      <c r="A2685" t="str">
        <f>"00496047"</f>
        <v>00496047</v>
      </c>
      <c r="B2685" t="s">
        <v>3898</v>
      </c>
      <c r="C2685" t="s">
        <v>327</v>
      </c>
      <c r="D2685" t="s">
        <v>51</v>
      </c>
      <c r="E2685" t="s">
        <v>26</v>
      </c>
      <c r="F2685" t="s">
        <v>17</v>
      </c>
      <c r="G2685" t="str">
        <f>"03"</f>
        <v>03</v>
      </c>
      <c r="H2685" t="str">
        <f>"3  "</f>
        <v xml:space="preserve">3  </v>
      </c>
      <c r="I2685" t="str">
        <f>"2020/05/14"</f>
        <v>2020/05/14</v>
      </c>
      <c r="J2685" t="str">
        <f>"110"</f>
        <v>110</v>
      </c>
      <c r="K2685" t="str">
        <f>"20330928"</f>
        <v>20330928</v>
      </c>
      <c r="L2685" t="s">
        <v>18</v>
      </c>
      <c r="M2685" t="str">
        <f>"20200321"</f>
        <v>20200321</v>
      </c>
    </row>
    <row r="2686" spans="1:13" x14ac:dyDescent="0.25">
      <c r="A2686" t="str">
        <f>"00810923"</f>
        <v>00810923</v>
      </c>
      <c r="B2686" t="s">
        <v>3904</v>
      </c>
      <c r="C2686" t="s">
        <v>3905</v>
      </c>
      <c r="D2686" t="s">
        <v>25</v>
      </c>
      <c r="E2686" t="s">
        <v>26</v>
      </c>
      <c r="F2686" t="s">
        <v>17</v>
      </c>
      <c r="G2686" t="str">
        <f>"03"</f>
        <v>03</v>
      </c>
      <c r="H2686" t="str">
        <f>"0  "</f>
        <v xml:space="preserve">0  </v>
      </c>
      <c r="I2686" t="str">
        <f>"2020/01/30"</f>
        <v>2020/01/30</v>
      </c>
      <c r="J2686" t="str">
        <f>"420"</f>
        <v>420</v>
      </c>
      <c r="K2686" t="s">
        <v>18</v>
      </c>
      <c r="L2686" t="s">
        <v>18</v>
      </c>
      <c r="M2686" t="s">
        <v>18</v>
      </c>
    </row>
    <row r="2687" spans="1:13" x14ac:dyDescent="0.25">
      <c r="A2687" t="str">
        <f>"00482558"</f>
        <v>00482558</v>
      </c>
      <c r="B2687" t="s">
        <v>3904</v>
      </c>
      <c r="C2687" t="s">
        <v>96</v>
      </c>
      <c r="D2687" t="s">
        <v>15</v>
      </c>
      <c r="E2687" t="s">
        <v>26</v>
      </c>
      <c r="F2687" t="s">
        <v>17</v>
      </c>
      <c r="G2687" t="str">
        <f>"03"</f>
        <v>03</v>
      </c>
      <c r="H2687" t="str">
        <f>"1  "</f>
        <v xml:space="preserve">1  </v>
      </c>
      <c r="I2687" t="str">
        <f>"2020/09/01"</f>
        <v>2020/09/01</v>
      </c>
      <c r="J2687" t="str">
        <f>"110"</f>
        <v>110</v>
      </c>
      <c r="K2687" t="str">
        <f>"20210113"</f>
        <v>20210113</v>
      </c>
      <c r="L2687" t="s">
        <v>18</v>
      </c>
      <c r="M2687" t="str">
        <f>"20200817"</f>
        <v>20200817</v>
      </c>
    </row>
    <row r="2688" spans="1:13" x14ac:dyDescent="0.25">
      <c r="A2688" t="str">
        <f>"00598212"</f>
        <v>00598212</v>
      </c>
      <c r="B2688" t="s">
        <v>3908</v>
      </c>
      <c r="C2688" t="s">
        <v>2187</v>
      </c>
      <c r="D2688" t="s">
        <v>73</v>
      </c>
      <c r="E2688" t="s">
        <v>16</v>
      </c>
      <c r="F2688" t="s">
        <v>17</v>
      </c>
      <c r="G2688" t="str">
        <f>"03"</f>
        <v>03</v>
      </c>
      <c r="H2688" t="str">
        <f>"3  "</f>
        <v xml:space="preserve">3  </v>
      </c>
      <c r="I2688" t="str">
        <f>"2018/10/08"</f>
        <v>2018/10/08</v>
      </c>
      <c r="J2688" t="str">
        <f>"110"</f>
        <v>110</v>
      </c>
      <c r="K2688" t="str">
        <f>"20210628"</f>
        <v>20210628</v>
      </c>
      <c r="L2688" t="s">
        <v>18</v>
      </c>
      <c r="M2688" t="str">
        <f>"20180213"</f>
        <v>20180213</v>
      </c>
    </row>
    <row r="2689" spans="1:13" x14ac:dyDescent="0.25">
      <c r="A2689" t="str">
        <f>"00518633"</f>
        <v>00518633</v>
      </c>
      <c r="B2689" t="s">
        <v>3908</v>
      </c>
      <c r="C2689" t="s">
        <v>3910</v>
      </c>
      <c r="D2689" t="s">
        <v>15</v>
      </c>
      <c r="E2689" t="s">
        <v>26</v>
      </c>
      <c r="F2689" t="s">
        <v>17</v>
      </c>
      <c r="G2689" t="str">
        <f>"03"</f>
        <v>03</v>
      </c>
      <c r="H2689" t="str">
        <f>"3  "</f>
        <v xml:space="preserve">3  </v>
      </c>
      <c r="I2689" t="str">
        <f>"2011/01/27"</f>
        <v>2011/01/27</v>
      </c>
      <c r="J2689" t="str">
        <f>"110"</f>
        <v>110</v>
      </c>
      <c r="K2689" t="str">
        <f>"20201204"</f>
        <v>20201204</v>
      </c>
      <c r="L2689" t="s">
        <v>18</v>
      </c>
      <c r="M2689" t="str">
        <f>"20100805"</f>
        <v>20100805</v>
      </c>
    </row>
    <row r="2690" spans="1:13" x14ac:dyDescent="0.25">
      <c r="A2690" t="str">
        <f>"00244890"</f>
        <v>00244890</v>
      </c>
      <c r="B2690" t="s">
        <v>3908</v>
      </c>
      <c r="C2690" t="s">
        <v>136</v>
      </c>
      <c r="D2690" t="s">
        <v>15</v>
      </c>
      <c r="E2690" t="s">
        <v>26</v>
      </c>
      <c r="F2690" t="s">
        <v>17</v>
      </c>
      <c r="G2690" t="str">
        <f>"03"</f>
        <v>03</v>
      </c>
      <c r="H2690" t="str">
        <f>"7  "</f>
        <v xml:space="preserve">7  </v>
      </c>
      <c r="I2690" t="str">
        <f>"2015/02/11"</f>
        <v>2015/02/11</v>
      </c>
      <c r="J2690" t="str">
        <f>"502"</f>
        <v>502</v>
      </c>
      <c r="K2690" t="s">
        <v>18</v>
      </c>
      <c r="L2690" t="s">
        <v>18</v>
      </c>
      <c r="M2690" t="str">
        <f>"19970727"</f>
        <v>19970727</v>
      </c>
    </row>
    <row r="2691" spans="1:13" x14ac:dyDescent="0.25">
      <c r="A2691" t="str">
        <f>"00592123"</f>
        <v>00592123</v>
      </c>
      <c r="B2691" t="s">
        <v>3908</v>
      </c>
      <c r="C2691" t="s">
        <v>48</v>
      </c>
      <c r="D2691" t="s">
        <v>51</v>
      </c>
      <c r="E2691" t="s">
        <v>16</v>
      </c>
      <c r="F2691" t="s">
        <v>17</v>
      </c>
      <c r="G2691" t="str">
        <f>"03"</f>
        <v>03</v>
      </c>
      <c r="H2691" t="str">
        <f>"3  "</f>
        <v xml:space="preserve">3  </v>
      </c>
      <c r="I2691" t="str">
        <f>"2020/01/10"</f>
        <v>2020/01/10</v>
      </c>
      <c r="J2691" t="str">
        <f>"110"</f>
        <v>110</v>
      </c>
      <c r="K2691" t="str">
        <f>"20210821"</f>
        <v>20210821</v>
      </c>
      <c r="L2691" t="s">
        <v>18</v>
      </c>
      <c r="M2691" t="str">
        <f>"20191028"</f>
        <v>20191028</v>
      </c>
    </row>
    <row r="2692" spans="1:13" x14ac:dyDescent="0.25">
      <c r="A2692" t="str">
        <f>"00722672"</f>
        <v>00722672</v>
      </c>
      <c r="B2692" t="s">
        <v>3908</v>
      </c>
      <c r="C2692" t="s">
        <v>48</v>
      </c>
      <c r="D2692" t="s">
        <v>80</v>
      </c>
      <c r="E2692" t="s">
        <v>26</v>
      </c>
      <c r="F2692" t="s">
        <v>17</v>
      </c>
      <c r="G2692" t="str">
        <f>"03"</f>
        <v>03</v>
      </c>
      <c r="H2692" t="str">
        <f>"3  "</f>
        <v xml:space="preserve">3  </v>
      </c>
      <c r="I2692" t="str">
        <f>"2020/03/13"</f>
        <v>2020/03/13</v>
      </c>
      <c r="J2692" t="str">
        <f>"512"</f>
        <v>512</v>
      </c>
      <c r="K2692" t="str">
        <f>"20210316"</f>
        <v>20210316</v>
      </c>
      <c r="L2692" t="s">
        <v>18</v>
      </c>
      <c r="M2692" t="str">
        <f>"20180706"</f>
        <v>20180706</v>
      </c>
    </row>
    <row r="2693" spans="1:13" x14ac:dyDescent="0.25">
      <c r="A2693" t="str">
        <f>"00418385"</f>
        <v>00418385</v>
      </c>
      <c r="B2693" t="s">
        <v>3908</v>
      </c>
      <c r="C2693" t="s">
        <v>96</v>
      </c>
      <c r="D2693" t="s">
        <v>45</v>
      </c>
      <c r="E2693" t="s">
        <v>26</v>
      </c>
      <c r="F2693" t="s">
        <v>17</v>
      </c>
      <c r="G2693" t="str">
        <f>"03"</f>
        <v>03</v>
      </c>
      <c r="H2693" t="str">
        <f>"3  "</f>
        <v xml:space="preserve">3  </v>
      </c>
      <c r="I2693" t="str">
        <f>"2018/09/18"</f>
        <v>2018/09/18</v>
      </c>
      <c r="J2693" t="str">
        <f>"110"</f>
        <v>110</v>
      </c>
      <c r="K2693" t="str">
        <f>"20231015"</f>
        <v>20231015</v>
      </c>
      <c r="L2693" t="s">
        <v>18</v>
      </c>
      <c r="M2693" t="str">
        <f>"20180726"</f>
        <v>20180726</v>
      </c>
    </row>
    <row r="2694" spans="1:13" x14ac:dyDescent="0.25">
      <c r="A2694" t="str">
        <f>"00570908"</f>
        <v>00570908</v>
      </c>
      <c r="B2694" t="s">
        <v>3908</v>
      </c>
      <c r="C2694" t="s">
        <v>3912</v>
      </c>
      <c r="D2694" t="s">
        <v>61</v>
      </c>
      <c r="E2694" t="s">
        <v>26</v>
      </c>
      <c r="F2694" t="s">
        <v>17</v>
      </c>
      <c r="G2694" t="str">
        <f>"03"</f>
        <v>03</v>
      </c>
      <c r="H2694" t="str">
        <f>"0  "</f>
        <v xml:space="preserve">0  </v>
      </c>
      <c r="I2694" t="str">
        <f>"2020/01/06"</f>
        <v>2020/01/06</v>
      </c>
      <c r="J2694" t="str">
        <f>"410"</f>
        <v>410</v>
      </c>
      <c r="K2694" t="s">
        <v>18</v>
      </c>
      <c r="L2694" t="s">
        <v>18</v>
      </c>
      <c r="M2694" t="s">
        <v>18</v>
      </c>
    </row>
    <row r="2695" spans="1:13" x14ac:dyDescent="0.25">
      <c r="A2695" t="str">
        <f>"00456418"</f>
        <v>00456418</v>
      </c>
      <c r="B2695" t="s">
        <v>3908</v>
      </c>
      <c r="C2695" t="s">
        <v>285</v>
      </c>
      <c r="D2695" t="s">
        <v>51</v>
      </c>
      <c r="E2695" t="s">
        <v>26</v>
      </c>
      <c r="F2695" t="s">
        <v>17</v>
      </c>
      <c r="G2695" t="str">
        <f>"03"</f>
        <v>03</v>
      </c>
      <c r="H2695" t="str">
        <f>"0  "</f>
        <v xml:space="preserve">0  </v>
      </c>
      <c r="I2695" t="str">
        <f>"2020/05/29"</f>
        <v>2020/05/29</v>
      </c>
      <c r="J2695" t="str">
        <f>"410"</f>
        <v>410</v>
      </c>
      <c r="K2695" t="s">
        <v>18</v>
      </c>
      <c r="L2695" t="s">
        <v>18</v>
      </c>
      <c r="M2695" t="s">
        <v>18</v>
      </c>
    </row>
    <row r="2696" spans="1:13" x14ac:dyDescent="0.25">
      <c r="A2696" t="str">
        <f>"00368019"</f>
        <v>00368019</v>
      </c>
      <c r="B2696" t="s">
        <v>3908</v>
      </c>
      <c r="C2696" t="s">
        <v>3914</v>
      </c>
      <c r="D2696" t="s">
        <v>182</v>
      </c>
      <c r="E2696" t="s">
        <v>26</v>
      </c>
      <c r="F2696" t="s">
        <v>17</v>
      </c>
      <c r="G2696" t="str">
        <f>"03"</f>
        <v>03</v>
      </c>
      <c r="H2696" t="str">
        <f>"0  "</f>
        <v xml:space="preserve">0  </v>
      </c>
      <c r="I2696" t="str">
        <f>"2020/05/02"</f>
        <v>2020/05/02</v>
      </c>
      <c r="J2696" t="str">
        <f>"410"</f>
        <v>410</v>
      </c>
      <c r="K2696" t="s">
        <v>18</v>
      </c>
      <c r="L2696" t="s">
        <v>18</v>
      </c>
      <c r="M2696" t="s">
        <v>18</v>
      </c>
    </row>
    <row r="2697" spans="1:13" x14ac:dyDescent="0.25">
      <c r="A2697" t="str">
        <f>"00877689"</f>
        <v>00877689</v>
      </c>
      <c r="B2697" t="s">
        <v>3915</v>
      </c>
      <c r="C2697" t="s">
        <v>120</v>
      </c>
      <c r="D2697" t="s">
        <v>61</v>
      </c>
      <c r="E2697" t="s">
        <v>16</v>
      </c>
      <c r="F2697" t="s">
        <v>17</v>
      </c>
      <c r="G2697" t="str">
        <f>"03"</f>
        <v>03</v>
      </c>
      <c r="H2697" t="str">
        <f>"1  "</f>
        <v xml:space="preserve">1  </v>
      </c>
      <c r="I2697" t="str">
        <f>"2019/12/31"</f>
        <v>2019/12/31</v>
      </c>
      <c r="J2697" t="str">
        <f>"512"</f>
        <v>512</v>
      </c>
      <c r="K2697" t="str">
        <f>"20201124"</f>
        <v>20201124</v>
      </c>
      <c r="L2697" t="s">
        <v>18</v>
      </c>
      <c r="M2697" t="str">
        <f>"20191219"</f>
        <v>20191219</v>
      </c>
    </row>
    <row r="2698" spans="1:13" x14ac:dyDescent="0.25">
      <c r="A2698" t="str">
        <f>"00935930"</f>
        <v>00935930</v>
      </c>
      <c r="B2698" t="s">
        <v>3920</v>
      </c>
      <c r="C2698" t="s">
        <v>3921</v>
      </c>
      <c r="D2698" t="s">
        <v>73</v>
      </c>
      <c r="E2698" t="s">
        <v>26</v>
      </c>
      <c r="F2698" t="s">
        <v>17</v>
      </c>
      <c r="G2698" t="str">
        <f>"03"</f>
        <v>03</v>
      </c>
      <c r="H2698" t="str">
        <f>"0  "</f>
        <v xml:space="preserve">0  </v>
      </c>
      <c r="I2698" t="str">
        <f>"2020/08/21"</f>
        <v>2020/08/21</v>
      </c>
      <c r="J2698" t="str">
        <f>"410"</f>
        <v>410</v>
      </c>
      <c r="K2698" t="s">
        <v>18</v>
      </c>
      <c r="L2698" t="s">
        <v>18</v>
      </c>
      <c r="M2698" t="s">
        <v>18</v>
      </c>
    </row>
    <row r="2699" spans="1:13" x14ac:dyDescent="0.25">
      <c r="A2699" t="str">
        <f>"00400431"</f>
        <v>00400431</v>
      </c>
      <c r="B2699" t="s">
        <v>3926</v>
      </c>
      <c r="C2699" t="s">
        <v>369</v>
      </c>
      <c r="D2699" t="s">
        <v>15</v>
      </c>
      <c r="E2699" t="s">
        <v>16</v>
      </c>
      <c r="F2699" t="s">
        <v>17</v>
      </c>
      <c r="G2699" t="str">
        <f>"03"</f>
        <v>03</v>
      </c>
      <c r="H2699" t="str">
        <f>"0  "</f>
        <v xml:space="preserve">0  </v>
      </c>
      <c r="I2699" t="str">
        <f>"2020/09/09"</f>
        <v>2020/09/09</v>
      </c>
      <c r="J2699" t="str">
        <f>"410"</f>
        <v>410</v>
      </c>
      <c r="K2699" t="s">
        <v>18</v>
      </c>
      <c r="L2699" t="s">
        <v>18</v>
      </c>
      <c r="M2699" t="s">
        <v>18</v>
      </c>
    </row>
    <row r="2700" spans="1:13" x14ac:dyDescent="0.25">
      <c r="A2700" t="str">
        <f>"00362768"</f>
        <v>00362768</v>
      </c>
      <c r="B2700" t="s">
        <v>3939</v>
      </c>
      <c r="C2700" t="s">
        <v>531</v>
      </c>
      <c r="D2700" t="s">
        <v>16</v>
      </c>
      <c r="E2700" t="s">
        <v>16</v>
      </c>
      <c r="F2700" t="s">
        <v>17</v>
      </c>
      <c r="G2700" t="str">
        <f>"03"</f>
        <v>03</v>
      </c>
      <c r="H2700" t="str">
        <f>"3  "</f>
        <v xml:space="preserve">3  </v>
      </c>
      <c r="I2700" t="str">
        <f>"2018/05/23"</f>
        <v>2018/05/23</v>
      </c>
      <c r="J2700" t="str">
        <f>"110"</f>
        <v>110</v>
      </c>
      <c r="K2700" t="str">
        <f>"20220417"</f>
        <v>20220417</v>
      </c>
      <c r="L2700" t="s">
        <v>18</v>
      </c>
      <c r="M2700" t="str">
        <f>"20180120"</f>
        <v>20180120</v>
      </c>
    </row>
    <row r="2701" spans="1:13" x14ac:dyDescent="0.25">
      <c r="A2701" t="str">
        <f>"00503155"</f>
        <v>00503155</v>
      </c>
      <c r="B2701" t="s">
        <v>3939</v>
      </c>
      <c r="C2701" t="s">
        <v>169</v>
      </c>
      <c r="D2701" t="s">
        <v>61</v>
      </c>
      <c r="E2701" t="s">
        <v>16</v>
      </c>
      <c r="F2701" t="s">
        <v>17</v>
      </c>
      <c r="G2701" t="str">
        <f>"03"</f>
        <v>03</v>
      </c>
      <c r="H2701" t="str">
        <f>"1  "</f>
        <v xml:space="preserve">1  </v>
      </c>
      <c r="I2701" t="str">
        <f>"2020/08/25"</f>
        <v>2020/08/25</v>
      </c>
      <c r="J2701" t="str">
        <f>"120"</f>
        <v>120</v>
      </c>
      <c r="K2701" t="str">
        <f>"20210207"</f>
        <v>20210207</v>
      </c>
      <c r="L2701" t="s">
        <v>18</v>
      </c>
      <c r="M2701" t="str">
        <f>"20200825"</f>
        <v>20200825</v>
      </c>
    </row>
    <row r="2702" spans="1:13" x14ac:dyDescent="0.25">
      <c r="A2702" t="str">
        <f>"00456259"</f>
        <v>00456259</v>
      </c>
      <c r="B2702" t="s">
        <v>3940</v>
      </c>
      <c r="C2702" t="s">
        <v>191</v>
      </c>
      <c r="D2702" t="s">
        <v>51</v>
      </c>
      <c r="E2702" t="s">
        <v>26</v>
      </c>
      <c r="F2702" t="s">
        <v>17</v>
      </c>
      <c r="G2702" t="str">
        <f>"03"</f>
        <v>03</v>
      </c>
      <c r="H2702" t="str">
        <f>"0  "</f>
        <v xml:space="preserve">0  </v>
      </c>
      <c r="I2702" t="str">
        <f>"2020/07/11"</f>
        <v>2020/07/11</v>
      </c>
      <c r="J2702" t="str">
        <f>"420"</f>
        <v>420</v>
      </c>
      <c r="K2702" t="s">
        <v>18</v>
      </c>
      <c r="L2702" t="s">
        <v>18</v>
      </c>
      <c r="M2702" t="s">
        <v>18</v>
      </c>
    </row>
    <row r="2703" spans="1:13" x14ac:dyDescent="0.25">
      <c r="A2703" t="str">
        <f>"00210312"</f>
        <v>00210312</v>
      </c>
      <c r="B2703" t="s">
        <v>3940</v>
      </c>
      <c r="C2703" t="s">
        <v>14</v>
      </c>
      <c r="D2703" t="s">
        <v>37</v>
      </c>
      <c r="E2703" t="s">
        <v>26</v>
      </c>
      <c r="F2703" t="s">
        <v>17</v>
      </c>
      <c r="G2703" t="str">
        <f>"03"</f>
        <v>03</v>
      </c>
      <c r="H2703" t="str">
        <f>"3  "</f>
        <v xml:space="preserve">3  </v>
      </c>
      <c r="I2703" t="str">
        <f>"2019/02/28"</f>
        <v>2019/02/28</v>
      </c>
      <c r="J2703" t="str">
        <f>"512"</f>
        <v>512</v>
      </c>
      <c r="K2703" t="str">
        <f>"20211016"</f>
        <v>20211016</v>
      </c>
      <c r="L2703" t="s">
        <v>18</v>
      </c>
      <c r="M2703" t="str">
        <f>"20190219"</f>
        <v>20190219</v>
      </c>
    </row>
    <row r="2704" spans="1:13" x14ac:dyDescent="0.25">
      <c r="A2704" t="str">
        <f>"00521386"</f>
        <v>00521386</v>
      </c>
      <c r="B2704" t="s">
        <v>3940</v>
      </c>
      <c r="C2704" t="s">
        <v>44</v>
      </c>
      <c r="D2704" t="s">
        <v>51</v>
      </c>
      <c r="E2704" t="s">
        <v>26</v>
      </c>
      <c r="F2704" t="s">
        <v>17</v>
      </c>
      <c r="G2704" t="str">
        <f>"03"</f>
        <v>03</v>
      </c>
      <c r="H2704" t="str">
        <f>"3  "</f>
        <v xml:space="preserve">3  </v>
      </c>
      <c r="I2704" t="str">
        <f>"2020/09/16"</f>
        <v>2020/09/16</v>
      </c>
      <c r="J2704" t="str">
        <f>"502"</f>
        <v>502</v>
      </c>
      <c r="K2704" t="str">
        <f>"20210917"</f>
        <v>20210917</v>
      </c>
      <c r="L2704" t="s">
        <v>18</v>
      </c>
      <c r="M2704" t="str">
        <f>"20191205"</f>
        <v>20191205</v>
      </c>
    </row>
    <row r="2705" spans="1:13" x14ac:dyDescent="0.25">
      <c r="A2705" t="str">
        <f>"00219197"</f>
        <v>00219197</v>
      </c>
      <c r="B2705" t="s">
        <v>3940</v>
      </c>
      <c r="C2705" t="s">
        <v>288</v>
      </c>
      <c r="D2705" t="s">
        <v>456</v>
      </c>
      <c r="E2705" t="s">
        <v>16</v>
      </c>
      <c r="F2705" t="s">
        <v>17</v>
      </c>
      <c r="G2705" t="str">
        <f>"03"</f>
        <v>03</v>
      </c>
      <c r="H2705" t="str">
        <f>"3  "</f>
        <v xml:space="preserve">3  </v>
      </c>
      <c r="I2705" t="str">
        <f>"2018/11/26"</f>
        <v>2018/11/26</v>
      </c>
      <c r="J2705" t="str">
        <f>"110"</f>
        <v>110</v>
      </c>
      <c r="K2705" t="str">
        <f>"20201025"</f>
        <v>20201025</v>
      </c>
      <c r="L2705" t="s">
        <v>18</v>
      </c>
      <c r="M2705" t="str">
        <f>"20180801"</f>
        <v>20180801</v>
      </c>
    </row>
    <row r="2706" spans="1:13" x14ac:dyDescent="0.25">
      <c r="A2706" t="str">
        <f>"00341654"</f>
        <v>00341654</v>
      </c>
      <c r="B2706" t="s">
        <v>3940</v>
      </c>
      <c r="C2706" t="s">
        <v>446</v>
      </c>
      <c r="D2706" t="s">
        <v>25</v>
      </c>
      <c r="E2706" t="s">
        <v>26</v>
      </c>
      <c r="F2706" t="s">
        <v>17</v>
      </c>
      <c r="G2706" t="str">
        <f>"03"</f>
        <v>03</v>
      </c>
      <c r="H2706" t="str">
        <f>"0  "</f>
        <v xml:space="preserve">0  </v>
      </c>
      <c r="I2706" t="str">
        <f>"2020/08/28"</f>
        <v>2020/08/28</v>
      </c>
      <c r="J2706" t="str">
        <f>"410"</f>
        <v>410</v>
      </c>
      <c r="K2706" t="s">
        <v>18</v>
      </c>
      <c r="L2706" t="s">
        <v>18</v>
      </c>
      <c r="M2706" t="s">
        <v>18</v>
      </c>
    </row>
    <row r="2707" spans="1:13" x14ac:dyDescent="0.25">
      <c r="A2707" t="str">
        <f>"00501128"</f>
        <v>00501128</v>
      </c>
      <c r="B2707" t="s">
        <v>3940</v>
      </c>
      <c r="C2707" t="s">
        <v>3692</v>
      </c>
      <c r="D2707" t="s">
        <v>61</v>
      </c>
      <c r="E2707" t="s">
        <v>26</v>
      </c>
      <c r="F2707" t="s">
        <v>17</v>
      </c>
      <c r="G2707" t="str">
        <f>"03"</f>
        <v>03</v>
      </c>
      <c r="H2707" t="str">
        <f>"0  "</f>
        <v xml:space="preserve">0  </v>
      </c>
      <c r="I2707" t="str">
        <f>"2020/06/12"</f>
        <v>2020/06/12</v>
      </c>
      <c r="J2707" t="str">
        <f>"420"</f>
        <v>420</v>
      </c>
      <c r="K2707" t="s">
        <v>18</v>
      </c>
      <c r="L2707" t="s">
        <v>18</v>
      </c>
      <c r="M2707" t="s">
        <v>18</v>
      </c>
    </row>
    <row r="2708" spans="1:13" x14ac:dyDescent="0.25">
      <c r="A2708" t="str">
        <f>"00258504"</f>
        <v>00258504</v>
      </c>
      <c r="B2708" t="s">
        <v>3940</v>
      </c>
      <c r="C2708" t="s">
        <v>3949</v>
      </c>
      <c r="D2708" t="s">
        <v>40</v>
      </c>
      <c r="E2708" t="s">
        <v>26</v>
      </c>
      <c r="F2708" t="s">
        <v>17</v>
      </c>
      <c r="G2708" t="str">
        <f>"03"</f>
        <v>03</v>
      </c>
      <c r="H2708" t="str">
        <f>"3  "</f>
        <v xml:space="preserve">3  </v>
      </c>
      <c r="I2708" t="str">
        <f>"2016/09/28"</f>
        <v>2016/09/28</v>
      </c>
      <c r="J2708" t="str">
        <f>"110"</f>
        <v>110</v>
      </c>
      <c r="K2708" t="str">
        <f>"20250111"</f>
        <v>20250111</v>
      </c>
      <c r="L2708" t="s">
        <v>18</v>
      </c>
      <c r="M2708" t="str">
        <f>"20160309"</f>
        <v>20160309</v>
      </c>
    </row>
    <row r="2709" spans="1:13" x14ac:dyDescent="0.25">
      <c r="A2709" t="str">
        <f>"00451399"</f>
        <v>00451399</v>
      </c>
      <c r="B2709" t="s">
        <v>3940</v>
      </c>
      <c r="C2709" t="s">
        <v>3950</v>
      </c>
      <c r="D2709" t="s">
        <v>51</v>
      </c>
      <c r="E2709" t="s">
        <v>26</v>
      </c>
      <c r="F2709" t="s">
        <v>17</v>
      </c>
      <c r="G2709" t="str">
        <f>"03"</f>
        <v>03</v>
      </c>
      <c r="H2709" t="str">
        <f>"3  "</f>
        <v xml:space="preserve">3  </v>
      </c>
      <c r="I2709" t="str">
        <f>"2015/12/01"</f>
        <v>2015/12/01</v>
      </c>
      <c r="J2709" t="str">
        <f>"110"</f>
        <v>110</v>
      </c>
      <c r="K2709" t="str">
        <f>"20240710"</f>
        <v>20240710</v>
      </c>
      <c r="L2709" t="s">
        <v>18</v>
      </c>
      <c r="M2709" t="str">
        <f>"20141216"</f>
        <v>20141216</v>
      </c>
    </row>
    <row r="2710" spans="1:13" x14ac:dyDescent="0.25">
      <c r="A2710" t="str">
        <f>"00204472"</f>
        <v>00204472</v>
      </c>
      <c r="B2710" t="s">
        <v>3940</v>
      </c>
      <c r="C2710" t="s">
        <v>2430</v>
      </c>
      <c r="D2710" t="s">
        <v>142</v>
      </c>
      <c r="E2710" t="s">
        <v>26</v>
      </c>
      <c r="F2710" t="s">
        <v>17</v>
      </c>
      <c r="G2710" t="str">
        <f>"03"</f>
        <v>03</v>
      </c>
      <c r="H2710" t="str">
        <f>"3  "</f>
        <v xml:space="preserve">3  </v>
      </c>
      <c r="I2710" t="str">
        <f>"2017/11/07"</f>
        <v>2017/11/07</v>
      </c>
      <c r="J2710" t="str">
        <f>"110"</f>
        <v>110</v>
      </c>
      <c r="K2710" t="str">
        <f>"20220712"</f>
        <v>20220712</v>
      </c>
      <c r="L2710" t="s">
        <v>18</v>
      </c>
      <c r="M2710" t="str">
        <f>"20170531"</f>
        <v>20170531</v>
      </c>
    </row>
    <row r="2711" spans="1:13" x14ac:dyDescent="0.25">
      <c r="A2711" t="str">
        <f>"00753849"</f>
        <v>00753849</v>
      </c>
      <c r="B2711" t="s">
        <v>3940</v>
      </c>
      <c r="C2711" t="s">
        <v>1389</v>
      </c>
      <c r="D2711" t="s">
        <v>61</v>
      </c>
      <c r="E2711" t="s">
        <v>26</v>
      </c>
      <c r="F2711" t="s">
        <v>17</v>
      </c>
      <c r="G2711" t="str">
        <f>"03"</f>
        <v>03</v>
      </c>
      <c r="H2711" t="str">
        <f>"0  "</f>
        <v xml:space="preserve">0  </v>
      </c>
      <c r="I2711" t="str">
        <f>"2019/11/08"</f>
        <v>2019/11/08</v>
      </c>
      <c r="J2711" t="str">
        <f>"420"</f>
        <v>420</v>
      </c>
      <c r="K2711" t="s">
        <v>18</v>
      </c>
      <c r="L2711" t="s">
        <v>18</v>
      </c>
      <c r="M2711" t="s">
        <v>18</v>
      </c>
    </row>
    <row r="2712" spans="1:13" x14ac:dyDescent="0.25">
      <c r="A2712" t="str">
        <f>"00282948"</f>
        <v>00282948</v>
      </c>
      <c r="B2712" t="s">
        <v>3940</v>
      </c>
      <c r="C2712" t="s">
        <v>714</v>
      </c>
      <c r="D2712" t="s">
        <v>51</v>
      </c>
      <c r="E2712" t="s">
        <v>26</v>
      </c>
      <c r="F2712" t="s">
        <v>17</v>
      </c>
      <c r="G2712" t="str">
        <f>"03"</f>
        <v>03</v>
      </c>
      <c r="H2712" t="str">
        <f>"7  "</f>
        <v xml:space="preserve">7  </v>
      </c>
      <c r="I2712" t="str">
        <f>"2019/11/07"</f>
        <v>2019/11/07</v>
      </c>
      <c r="J2712" t="str">
        <f>"510"</f>
        <v>510</v>
      </c>
      <c r="K2712" t="s">
        <v>18</v>
      </c>
      <c r="L2712" t="s">
        <v>18</v>
      </c>
      <c r="M2712" t="str">
        <f>"20040604"</f>
        <v>20040604</v>
      </c>
    </row>
    <row r="2713" spans="1:13" x14ac:dyDescent="0.25">
      <c r="A2713" t="str">
        <f>"00751854"</f>
        <v>00751854</v>
      </c>
      <c r="B2713" t="s">
        <v>3940</v>
      </c>
      <c r="C2713" t="s">
        <v>3956</v>
      </c>
      <c r="D2713" t="s">
        <v>51</v>
      </c>
      <c r="E2713" t="s">
        <v>26</v>
      </c>
      <c r="F2713" t="s">
        <v>17</v>
      </c>
      <c r="G2713" t="str">
        <f>"03"</f>
        <v>03</v>
      </c>
      <c r="H2713" t="str">
        <f>"3  "</f>
        <v xml:space="preserve">3  </v>
      </c>
      <c r="I2713" t="str">
        <f>"2020/09/01"</f>
        <v>2020/09/01</v>
      </c>
      <c r="J2713" t="str">
        <f>"502"</f>
        <v>502</v>
      </c>
      <c r="K2713" t="str">
        <f>"20210120"</f>
        <v>20210120</v>
      </c>
      <c r="L2713" t="s">
        <v>18</v>
      </c>
      <c r="M2713" t="str">
        <f>"20190912"</f>
        <v>20190912</v>
      </c>
    </row>
    <row r="2714" spans="1:13" x14ac:dyDescent="0.25">
      <c r="A2714" t="str">
        <f>"00456982"</f>
        <v>00456982</v>
      </c>
      <c r="B2714" t="s">
        <v>3940</v>
      </c>
      <c r="C2714" t="s">
        <v>3957</v>
      </c>
      <c r="D2714" t="s">
        <v>25</v>
      </c>
      <c r="E2714" t="s">
        <v>26</v>
      </c>
      <c r="F2714" t="s">
        <v>17</v>
      </c>
      <c r="G2714" t="str">
        <f>"03"</f>
        <v>03</v>
      </c>
      <c r="H2714" t="str">
        <f>"1  "</f>
        <v xml:space="preserve">1  </v>
      </c>
      <c r="I2714" t="str">
        <f>"2020/09/16"</f>
        <v>2020/09/16</v>
      </c>
      <c r="J2714" t="str">
        <f>"110"</f>
        <v>110</v>
      </c>
      <c r="K2714" t="str">
        <f>"20201201"</f>
        <v>20201201</v>
      </c>
      <c r="L2714" t="s">
        <v>18</v>
      </c>
      <c r="M2714" t="str">
        <f>"20200910"</f>
        <v>20200910</v>
      </c>
    </row>
    <row r="2715" spans="1:13" x14ac:dyDescent="0.25">
      <c r="A2715" t="str">
        <f>"00626726"</f>
        <v>00626726</v>
      </c>
      <c r="B2715" t="s">
        <v>3940</v>
      </c>
      <c r="C2715" t="s">
        <v>944</v>
      </c>
      <c r="D2715" t="s">
        <v>25</v>
      </c>
      <c r="E2715" t="s">
        <v>26</v>
      </c>
      <c r="F2715" t="s">
        <v>17</v>
      </c>
      <c r="G2715" t="str">
        <f>"03"</f>
        <v>03</v>
      </c>
      <c r="H2715" t="str">
        <f>"3  "</f>
        <v xml:space="preserve">3  </v>
      </c>
      <c r="I2715" t="str">
        <f>"2019/04/02"</f>
        <v>2019/04/02</v>
      </c>
      <c r="J2715" t="str">
        <f>"110"</f>
        <v>110</v>
      </c>
      <c r="K2715" t="str">
        <f>"20210101"</f>
        <v>20210101</v>
      </c>
      <c r="L2715" t="s">
        <v>18</v>
      </c>
      <c r="M2715" t="str">
        <f>"20190313"</f>
        <v>20190313</v>
      </c>
    </row>
    <row r="2716" spans="1:13" x14ac:dyDescent="0.25">
      <c r="A2716" t="str">
        <f>"00600478"</f>
        <v>00600478</v>
      </c>
      <c r="B2716" t="s">
        <v>3940</v>
      </c>
      <c r="C2716" t="s">
        <v>724</v>
      </c>
      <c r="D2716" t="s">
        <v>61</v>
      </c>
      <c r="E2716" t="s">
        <v>26</v>
      </c>
      <c r="F2716" t="s">
        <v>17</v>
      </c>
      <c r="G2716" t="str">
        <f>"03"</f>
        <v>03</v>
      </c>
      <c r="H2716" t="str">
        <f>"3  "</f>
        <v xml:space="preserve">3  </v>
      </c>
      <c r="I2716" t="str">
        <f>"2018/08/24"</f>
        <v>2018/08/24</v>
      </c>
      <c r="J2716" t="str">
        <f>"110"</f>
        <v>110</v>
      </c>
      <c r="K2716" t="str">
        <f>"20220410"</f>
        <v>20220410</v>
      </c>
      <c r="L2716" t="s">
        <v>18</v>
      </c>
      <c r="M2716" t="str">
        <f>"20171130"</f>
        <v>20171130</v>
      </c>
    </row>
    <row r="2717" spans="1:13" x14ac:dyDescent="0.25">
      <c r="A2717" t="str">
        <f>"00556942"</f>
        <v>00556942</v>
      </c>
      <c r="B2717" t="s">
        <v>3940</v>
      </c>
      <c r="C2717" t="s">
        <v>2408</v>
      </c>
      <c r="D2717" t="s">
        <v>61</v>
      </c>
      <c r="E2717" t="s">
        <v>26</v>
      </c>
      <c r="F2717" t="s">
        <v>17</v>
      </c>
      <c r="G2717" t="str">
        <f>"03"</f>
        <v>03</v>
      </c>
      <c r="H2717" t="str">
        <f>"1  "</f>
        <v xml:space="preserve">1  </v>
      </c>
      <c r="I2717" t="str">
        <f>"2020/05/07"</f>
        <v>2020/05/07</v>
      </c>
      <c r="J2717" t="str">
        <f>"110"</f>
        <v>110</v>
      </c>
      <c r="K2717" t="str">
        <f>"20210306"</f>
        <v>20210306</v>
      </c>
      <c r="L2717" t="s">
        <v>18</v>
      </c>
      <c r="M2717" t="str">
        <f>"20200428"</f>
        <v>20200428</v>
      </c>
    </row>
    <row r="2718" spans="1:13" x14ac:dyDescent="0.25">
      <c r="A2718" t="str">
        <f>"00909294"</f>
        <v>00909294</v>
      </c>
      <c r="B2718" t="s">
        <v>3940</v>
      </c>
      <c r="C2718" t="s">
        <v>169</v>
      </c>
      <c r="D2718" t="s">
        <v>15</v>
      </c>
      <c r="E2718" t="s">
        <v>16</v>
      </c>
      <c r="F2718" t="s">
        <v>17</v>
      </c>
      <c r="G2718" t="str">
        <f>"03"</f>
        <v>03</v>
      </c>
      <c r="H2718" t="str">
        <f>"0  "</f>
        <v xml:space="preserve">0  </v>
      </c>
      <c r="I2718" t="str">
        <f>"2019/12/04"</f>
        <v>2019/12/04</v>
      </c>
      <c r="J2718" t="str">
        <f>"410"</f>
        <v>410</v>
      </c>
      <c r="K2718" t="s">
        <v>18</v>
      </c>
      <c r="L2718" t="s">
        <v>18</v>
      </c>
      <c r="M2718" t="s">
        <v>18</v>
      </c>
    </row>
    <row r="2719" spans="1:13" x14ac:dyDescent="0.25">
      <c r="A2719" t="str">
        <f>"00291856"</f>
        <v>00291856</v>
      </c>
      <c r="B2719" t="s">
        <v>3958</v>
      </c>
      <c r="C2719" t="s">
        <v>658</v>
      </c>
      <c r="D2719" t="s">
        <v>80</v>
      </c>
      <c r="E2719" t="s">
        <v>26</v>
      </c>
      <c r="F2719" t="s">
        <v>17</v>
      </c>
      <c r="G2719" t="str">
        <f>"03"</f>
        <v>03</v>
      </c>
      <c r="H2719" t="str">
        <f>"7  "</f>
        <v xml:space="preserve">7  </v>
      </c>
      <c r="I2719" t="str">
        <f>"1994/08/12"</f>
        <v>1994/08/12</v>
      </c>
      <c r="J2719" t="str">
        <f>"114"</f>
        <v>114</v>
      </c>
      <c r="K2719" t="s">
        <v>18</v>
      </c>
      <c r="L2719" t="s">
        <v>18</v>
      </c>
      <c r="M2719" t="str">
        <f>"19930504"</f>
        <v>19930504</v>
      </c>
    </row>
    <row r="2720" spans="1:13" x14ac:dyDescent="0.25">
      <c r="A2720" t="str">
        <f>"00870403"</f>
        <v>00870403</v>
      </c>
      <c r="B2720" t="s">
        <v>3959</v>
      </c>
      <c r="C2720" t="s">
        <v>3960</v>
      </c>
      <c r="D2720" t="s">
        <v>53</v>
      </c>
      <c r="E2720" t="s">
        <v>26</v>
      </c>
      <c r="F2720" t="s">
        <v>17</v>
      </c>
      <c r="G2720" t="str">
        <f>"03"</f>
        <v>03</v>
      </c>
      <c r="H2720" t="str">
        <f>"0  "</f>
        <v xml:space="preserve">0  </v>
      </c>
      <c r="I2720" t="str">
        <f>"2019/12/11"</f>
        <v>2019/12/11</v>
      </c>
      <c r="J2720" t="str">
        <f>"410"</f>
        <v>410</v>
      </c>
      <c r="K2720" t="s">
        <v>18</v>
      </c>
      <c r="L2720" t="s">
        <v>18</v>
      </c>
      <c r="M2720" t="s">
        <v>18</v>
      </c>
    </row>
    <row r="2721" spans="1:13" x14ac:dyDescent="0.25">
      <c r="A2721" t="str">
        <f>"00202467"</f>
        <v>00202467</v>
      </c>
      <c r="B2721" t="s">
        <v>3961</v>
      </c>
      <c r="C2721" t="s">
        <v>1854</v>
      </c>
      <c r="D2721" t="s">
        <v>25</v>
      </c>
      <c r="E2721" t="s">
        <v>26</v>
      </c>
      <c r="F2721" t="s">
        <v>17</v>
      </c>
      <c r="G2721" t="str">
        <f>"03"</f>
        <v>03</v>
      </c>
      <c r="H2721" t="str">
        <f>"0  "</f>
        <v xml:space="preserve">0  </v>
      </c>
      <c r="I2721" t="str">
        <f>"2020/09/16"</f>
        <v>2020/09/16</v>
      </c>
      <c r="J2721" t="str">
        <f>"410"</f>
        <v>410</v>
      </c>
      <c r="K2721" t="s">
        <v>18</v>
      </c>
      <c r="L2721" t="s">
        <v>18</v>
      </c>
      <c r="M2721" t="s">
        <v>18</v>
      </c>
    </row>
    <row r="2722" spans="1:13" x14ac:dyDescent="0.25">
      <c r="A2722" t="str">
        <f>"00343763"</f>
        <v>00343763</v>
      </c>
      <c r="B2722" t="s">
        <v>3963</v>
      </c>
      <c r="C2722" t="s">
        <v>426</v>
      </c>
      <c r="D2722" t="s">
        <v>25</v>
      </c>
      <c r="E2722" t="s">
        <v>16</v>
      </c>
      <c r="F2722" t="s">
        <v>17</v>
      </c>
      <c r="G2722" t="str">
        <f>"03"</f>
        <v>03</v>
      </c>
      <c r="H2722" t="str">
        <f>"3  "</f>
        <v xml:space="preserve">3  </v>
      </c>
      <c r="I2722" t="str">
        <f>"2018/09/18"</f>
        <v>2018/09/18</v>
      </c>
      <c r="J2722" t="str">
        <f>"110"</f>
        <v>110</v>
      </c>
      <c r="K2722" t="str">
        <f>"20420712"</f>
        <v>20420712</v>
      </c>
      <c r="L2722" t="s">
        <v>18</v>
      </c>
      <c r="M2722" t="str">
        <f>"20180429"</f>
        <v>20180429</v>
      </c>
    </row>
    <row r="2723" spans="1:13" x14ac:dyDescent="0.25">
      <c r="A2723" t="str">
        <f>"00572037"</f>
        <v>00572037</v>
      </c>
      <c r="B2723" t="s">
        <v>3963</v>
      </c>
      <c r="C2723" t="s">
        <v>2994</v>
      </c>
      <c r="D2723" t="s">
        <v>51</v>
      </c>
      <c r="E2723" t="s">
        <v>26</v>
      </c>
      <c r="F2723" t="s">
        <v>17</v>
      </c>
      <c r="G2723" t="str">
        <f>"03"</f>
        <v>03</v>
      </c>
      <c r="H2723" t="str">
        <f>"0  "</f>
        <v xml:space="preserve">0  </v>
      </c>
      <c r="I2723" t="str">
        <f>"2020/01/20"</f>
        <v>2020/01/20</v>
      </c>
      <c r="J2723" t="str">
        <f>"420"</f>
        <v>420</v>
      </c>
      <c r="K2723" t="s">
        <v>18</v>
      </c>
      <c r="L2723" t="s">
        <v>18</v>
      </c>
      <c r="M2723" t="s">
        <v>18</v>
      </c>
    </row>
    <row r="2724" spans="1:13" x14ac:dyDescent="0.25">
      <c r="A2724" t="str">
        <f>"00929376"</f>
        <v>00929376</v>
      </c>
      <c r="B2724" t="s">
        <v>3972</v>
      </c>
      <c r="C2724" t="s">
        <v>626</v>
      </c>
      <c r="D2724" t="s">
        <v>25</v>
      </c>
      <c r="E2724" t="s">
        <v>26</v>
      </c>
      <c r="F2724" t="s">
        <v>17</v>
      </c>
      <c r="G2724" t="str">
        <f>"03"</f>
        <v>03</v>
      </c>
      <c r="H2724" t="str">
        <f>"0  "</f>
        <v xml:space="preserve">0  </v>
      </c>
      <c r="I2724" t="str">
        <f>"2020/04/19"</f>
        <v>2020/04/19</v>
      </c>
      <c r="J2724" t="str">
        <f>"410"</f>
        <v>410</v>
      </c>
      <c r="K2724" t="s">
        <v>18</v>
      </c>
      <c r="L2724" t="s">
        <v>18</v>
      </c>
      <c r="M2724" t="s">
        <v>18</v>
      </c>
    </row>
    <row r="2725" spans="1:13" x14ac:dyDescent="0.25">
      <c r="A2725" t="str">
        <f>"00789306"</f>
        <v>00789306</v>
      </c>
      <c r="B2725" t="s">
        <v>3987</v>
      </c>
      <c r="C2725" t="s">
        <v>394</v>
      </c>
      <c r="D2725" t="s">
        <v>53</v>
      </c>
      <c r="E2725" t="s">
        <v>26</v>
      </c>
      <c r="F2725" t="s">
        <v>17</v>
      </c>
      <c r="G2725" t="str">
        <f>"03"</f>
        <v>03</v>
      </c>
      <c r="H2725" t="str">
        <f>"3  "</f>
        <v xml:space="preserve">3  </v>
      </c>
      <c r="I2725" t="str">
        <f>"2017/06/13"</f>
        <v>2017/06/13</v>
      </c>
      <c r="J2725" t="str">
        <f>"110"</f>
        <v>110</v>
      </c>
      <c r="K2725" t="str">
        <f>"20470717"</f>
        <v>20470717</v>
      </c>
      <c r="L2725" t="s">
        <v>18</v>
      </c>
      <c r="M2725" t="str">
        <f>"20170220"</f>
        <v>20170220</v>
      </c>
    </row>
    <row r="2726" spans="1:13" x14ac:dyDescent="0.25">
      <c r="A2726" t="str">
        <f>"00854301"</f>
        <v>00854301</v>
      </c>
      <c r="B2726" t="s">
        <v>3988</v>
      </c>
      <c r="C2726" t="s">
        <v>169</v>
      </c>
      <c r="D2726" t="s">
        <v>61</v>
      </c>
      <c r="E2726" t="s">
        <v>16</v>
      </c>
      <c r="F2726" t="s">
        <v>17</v>
      </c>
      <c r="G2726" t="str">
        <f>"03"</f>
        <v>03</v>
      </c>
      <c r="H2726" t="str">
        <f>"0  "</f>
        <v xml:space="preserve">0  </v>
      </c>
      <c r="I2726" t="str">
        <f>"2020/06/20"</f>
        <v>2020/06/20</v>
      </c>
      <c r="J2726" t="str">
        <f>"410"</f>
        <v>410</v>
      </c>
      <c r="K2726" t="s">
        <v>18</v>
      </c>
      <c r="L2726" t="s">
        <v>18</v>
      </c>
      <c r="M2726" t="s">
        <v>18</v>
      </c>
    </row>
    <row r="2727" spans="1:13" x14ac:dyDescent="0.25">
      <c r="A2727" t="str">
        <f>"00313961"</f>
        <v>00313961</v>
      </c>
      <c r="B2727" t="s">
        <v>3991</v>
      </c>
      <c r="C2727" t="s">
        <v>685</v>
      </c>
      <c r="D2727" t="s">
        <v>51</v>
      </c>
      <c r="E2727" t="s">
        <v>16</v>
      </c>
      <c r="F2727" t="s">
        <v>17</v>
      </c>
      <c r="G2727" t="str">
        <f>"03"</f>
        <v>03</v>
      </c>
      <c r="H2727" t="str">
        <f>"0  "</f>
        <v xml:space="preserve">0  </v>
      </c>
      <c r="I2727" t="str">
        <f>"2020/06/23"</f>
        <v>2020/06/23</v>
      </c>
      <c r="J2727" t="str">
        <f>"410"</f>
        <v>410</v>
      </c>
      <c r="K2727" t="s">
        <v>18</v>
      </c>
      <c r="L2727" t="s">
        <v>18</v>
      </c>
      <c r="M2727" t="s">
        <v>18</v>
      </c>
    </row>
    <row r="2728" spans="1:13" x14ac:dyDescent="0.25">
      <c r="A2728" t="str">
        <f>"00662660"</f>
        <v>00662660</v>
      </c>
      <c r="B2728" t="s">
        <v>3995</v>
      </c>
      <c r="C2728" t="s">
        <v>3996</v>
      </c>
      <c r="D2728" t="s">
        <v>121</v>
      </c>
      <c r="E2728" t="s">
        <v>16</v>
      </c>
      <c r="F2728" t="s">
        <v>17</v>
      </c>
      <c r="G2728" t="str">
        <f>"03"</f>
        <v>03</v>
      </c>
      <c r="H2728" t="str">
        <f>"3  "</f>
        <v xml:space="preserve">3  </v>
      </c>
      <c r="I2728" t="str">
        <f>"2020/09/21"</f>
        <v>2020/09/21</v>
      </c>
      <c r="J2728" t="str">
        <f>"502"</f>
        <v>502</v>
      </c>
      <c r="K2728" t="str">
        <f>"20400820"</f>
        <v>20400820</v>
      </c>
      <c r="L2728" t="s">
        <v>18</v>
      </c>
      <c r="M2728" t="str">
        <f>"20130906"</f>
        <v>20130906</v>
      </c>
    </row>
    <row r="2729" spans="1:13" x14ac:dyDescent="0.25">
      <c r="A2729" t="str">
        <f>"00772205"</f>
        <v>00772205</v>
      </c>
      <c r="B2729" t="s">
        <v>4003</v>
      </c>
      <c r="C2729" t="s">
        <v>4004</v>
      </c>
      <c r="D2729" t="s">
        <v>21</v>
      </c>
      <c r="E2729" t="s">
        <v>26</v>
      </c>
      <c r="F2729" t="s">
        <v>17</v>
      </c>
      <c r="G2729" t="str">
        <f>"03"</f>
        <v>03</v>
      </c>
      <c r="H2729" t="str">
        <f>"1  "</f>
        <v xml:space="preserve">1  </v>
      </c>
      <c r="I2729" t="str">
        <f>"2020/06/03"</f>
        <v>2020/06/03</v>
      </c>
      <c r="J2729" t="str">
        <f>"120"</f>
        <v>120</v>
      </c>
      <c r="K2729" t="str">
        <f>"20210502"</f>
        <v>20210502</v>
      </c>
      <c r="L2729" t="s">
        <v>18</v>
      </c>
      <c r="M2729" t="str">
        <f>"20200602"</f>
        <v>20200602</v>
      </c>
    </row>
    <row r="2730" spans="1:13" x14ac:dyDescent="0.25">
      <c r="A2730" t="str">
        <f>"00220754"</f>
        <v>00220754</v>
      </c>
      <c r="B2730" t="s">
        <v>4013</v>
      </c>
      <c r="C2730" t="s">
        <v>49</v>
      </c>
      <c r="D2730" t="s">
        <v>45</v>
      </c>
      <c r="E2730" t="s">
        <v>16</v>
      </c>
      <c r="F2730" t="s">
        <v>17</v>
      </c>
      <c r="G2730" t="str">
        <f>"03"</f>
        <v>03</v>
      </c>
      <c r="H2730" t="str">
        <f>"3  "</f>
        <v xml:space="preserve">3  </v>
      </c>
      <c r="I2730" t="str">
        <f>"2020/03/03"</f>
        <v>2020/03/03</v>
      </c>
      <c r="J2730" t="str">
        <f>"534"</f>
        <v>534</v>
      </c>
      <c r="K2730" t="str">
        <f>"20211202"</f>
        <v>20211202</v>
      </c>
      <c r="L2730" t="s">
        <v>18</v>
      </c>
      <c r="M2730" t="str">
        <f>"20140505"</f>
        <v>20140505</v>
      </c>
    </row>
    <row r="2731" spans="1:13" x14ac:dyDescent="0.25">
      <c r="A2731" t="str">
        <f>"00464890"</f>
        <v>00464890</v>
      </c>
      <c r="B2731" t="s">
        <v>4014</v>
      </c>
      <c r="C2731" t="s">
        <v>2403</v>
      </c>
      <c r="D2731" t="s">
        <v>16</v>
      </c>
      <c r="E2731" t="s">
        <v>16</v>
      </c>
      <c r="F2731" t="s">
        <v>17</v>
      </c>
      <c r="G2731" t="str">
        <f>"03"</f>
        <v>03</v>
      </c>
      <c r="H2731" t="str">
        <f>"3  "</f>
        <v xml:space="preserve">3  </v>
      </c>
      <c r="I2731" t="str">
        <f>"2020/09/16"</f>
        <v>2020/09/16</v>
      </c>
      <c r="J2731" t="str">
        <f>"502"</f>
        <v>502</v>
      </c>
      <c r="K2731" t="str">
        <f>"20260101"</f>
        <v>20260101</v>
      </c>
      <c r="L2731" t="s">
        <v>18</v>
      </c>
      <c r="M2731" t="str">
        <f>"20191106"</f>
        <v>20191106</v>
      </c>
    </row>
    <row r="2732" spans="1:13" x14ac:dyDescent="0.25">
      <c r="A2732" t="str">
        <f>"00194803"</f>
        <v>00194803</v>
      </c>
      <c r="B2732" t="s">
        <v>4016</v>
      </c>
      <c r="C2732" t="s">
        <v>169</v>
      </c>
      <c r="D2732" t="s">
        <v>47</v>
      </c>
      <c r="E2732" t="s">
        <v>26</v>
      </c>
      <c r="F2732" t="s">
        <v>17</v>
      </c>
      <c r="G2732" t="str">
        <f>"03"</f>
        <v>03</v>
      </c>
      <c r="H2732" t="str">
        <f>"0  "</f>
        <v xml:space="preserve">0  </v>
      </c>
      <c r="I2732" t="str">
        <f>"2020/09/10"</f>
        <v>2020/09/10</v>
      </c>
      <c r="J2732" t="str">
        <f>"502"</f>
        <v>502</v>
      </c>
      <c r="K2732" t="s">
        <v>18</v>
      </c>
      <c r="L2732" t="s">
        <v>18</v>
      </c>
      <c r="M2732" t="s">
        <v>18</v>
      </c>
    </row>
    <row r="2733" spans="1:13" x14ac:dyDescent="0.25">
      <c r="A2733" t="str">
        <f>"00301308"</f>
        <v>00301308</v>
      </c>
      <c r="B2733" t="s">
        <v>4017</v>
      </c>
      <c r="C2733" t="s">
        <v>14</v>
      </c>
      <c r="D2733" t="s">
        <v>37</v>
      </c>
      <c r="E2733" t="s">
        <v>26</v>
      </c>
      <c r="F2733" t="s">
        <v>17</v>
      </c>
      <c r="G2733" t="str">
        <f>"03"</f>
        <v>03</v>
      </c>
      <c r="H2733" t="str">
        <f>"3  "</f>
        <v xml:space="preserve">3  </v>
      </c>
      <c r="I2733" t="str">
        <f>"2014/05/14"</f>
        <v>2014/05/14</v>
      </c>
      <c r="J2733" t="str">
        <f>"110"</f>
        <v>110</v>
      </c>
      <c r="K2733" t="str">
        <f>"20261006"</f>
        <v>20261006</v>
      </c>
      <c r="L2733" t="s">
        <v>18</v>
      </c>
      <c r="M2733" t="str">
        <f>"20130930"</f>
        <v>20130930</v>
      </c>
    </row>
    <row r="2734" spans="1:13" x14ac:dyDescent="0.25">
      <c r="A2734" t="str">
        <f>"00380375"</f>
        <v>00380375</v>
      </c>
      <c r="B2734" t="s">
        <v>4017</v>
      </c>
      <c r="C2734" t="s">
        <v>72</v>
      </c>
      <c r="D2734" t="s">
        <v>25</v>
      </c>
      <c r="E2734" t="s">
        <v>26</v>
      </c>
      <c r="F2734" t="s">
        <v>17</v>
      </c>
      <c r="G2734" t="str">
        <f>"03"</f>
        <v>03</v>
      </c>
      <c r="H2734" t="str">
        <f>"3  "</f>
        <v xml:space="preserve">3  </v>
      </c>
      <c r="I2734" t="str">
        <f>"2019/09/06"</f>
        <v>2019/09/06</v>
      </c>
      <c r="J2734" t="str">
        <f>"110"</f>
        <v>110</v>
      </c>
      <c r="K2734" t="str">
        <f>"20210515"</f>
        <v>20210515</v>
      </c>
      <c r="L2734" t="s">
        <v>18</v>
      </c>
      <c r="M2734" t="str">
        <f>"20180913"</f>
        <v>20180913</v>
      </c>
    </row>
    <row r="2735" spans="1:13" x14ac:dyDescent="0.25">
      <c r="A2735" t="str">
        <f>"00208427"</f>
        <v>00208427</v>
      </c>
      <c r="B2735" t="s">
        <v>4020</v>
      </c>
      <c r="C2735" t="s">
        <v>49</v>
      </c>
      <c r="D2735" t="s">
        <v>80</v>
      </c>
      <c r="E2735" t="s">
        <v>16</v>
      </c>
      <c r="F2735" t="s">
        <v>17</v>
      </c>
      <c r="G2735" t="str">
        <f>"03"</f>
        <v>03</v>
      </c>
      <c r="H2735" t="str">
        <f>"3  "</f>
        <v xml:space="preserve">3  </v>
      </c>
      <c r="I2735" t="str">
        <f>"2020/09/21"</f>
        <v>2020/09/21</v>
      </c>
      <c r="J2735" t="str">
        <f>"110"</f>
        <v>110</v>
      </c>
      <c r="K2735" t="str">
        <f>"20220722"</f>
        <v>20220722</v>
      </c>
      <c r="L2735" t="s">
        <v>18</v>
      </c>
      <c r="M2735" t="str">
        <f>"20200921"</f>
        <v>20200921</v>
      </c>
    </row>
    <row r="2736" spans="1:13" x14ac:dyDescent="0.25">
      <c r="A2736" t="str">
        <f>"00809786"</f>
        <v>00809786</v>
      </c>
      <c r="B2736" t="s">
        <v>4023</v>
      </c>
      <c r="C2736" t="s">
        <v>148</v>
      </c>
      <c r="D2736" t="s">
        <v>25</v>
      </c>
      <c r="E2736" t="s">
        <v>26</v>
      </c>
      <c r="F2736" t="s">
        <v>17</v>
      </c>
      <c r="G2736" t="str">
        <f>"03"</f>
        <v>03</v>
      </c>
      <c r="H2736" t="str">
        <f>"1  "</f>
        <v xml:space="preserve">1  </v>
      </c>
      <c r="I2736" t="str">
        <f>"2020/04/03"</f>
        <v>2020/04/03</v>
      </c>
      <c r="J2736" t="str">
        <f>"512"</f>
        <v>512</v>
      </c>
      <c r="K2736" t="str">
        <f>"20210215"</f>
        <v>20210215</v>
      </c>
      <c r="L2736" t="s">
        <v>18</v>
      </c>
      <c r="M2736" t="str">
        <f>"20200312"</f>
        <v>20200312</v>
      </c>
    </row>
    <row r="2737" spans="1:13" x14ac:dyDescent="0.25">
      <c r="A2737" t="str">
        <f>"00411035"</f>
        <v>00411035</v>
      </c>
      <c r="B2737" t="s">
        <v>4025</v>
      </c>
      <c r="C2737" t="s">
        <v>140</v>
      </c>
      <c r="D2737" t="s">
        <v>25</v>
      </c>
      <c r="E2737" t="s">
        <v>16</v>
      </c>
      <c r="F2737" t="s">
        <v>17</v>
      </c>
      <c r="G2737" t="str">
        <f>"03"</f>
        <v>03</v>
      </c>
      <c r="H2737" t="str">
        <f>"3  "</f>
        <v xml:space="preserve">3  </v>
      </c>
      <c r="I2737" t="str">
        <f>"2018/12/03"</f>
        <v>2018/12/03</v>
      </c>
      <c r="J2737" t="str">
        <f>"110"</f>
        <v>110</v>
      </c>
      <c r="K2737" t="str">
        <f>"20250915"</f>
        <v>20250915</v>
      </c>
      <c r="L2737" t="s">
        <v>18</v>
      </c>
      <c r="M2737" t="str">
        <f>"20180715"</f>
        <v>20180715</v>
      </c>
    </row>
    <row r="2738" spans="1:13" x14ac:dyDescent="0.25">
      <c r="A2738" t="str">
        <f>"00736858"</f>
        <v>00736858</v>
      </c>
      <c r="B2738" t="s">
        <v>4027</v>
      </c>
      <c r="C2738" t="s">
        <v>568</v>
      </c>
      <c r="D2738" t="s">
        <v>121</v>
      </c>
      <c r="E2738" t="s">
        <v>26</v>
      </c>
      <c r="F2738" t="s">
        <v>17</v>
      </c>
      <c r="G2738" t="str">
        <f>"03"</f>
        <v>03</v>
      </c>
      <c r="H2738" t="str">
        <f>"3  "</f>
        <v xml:space="preserve">3  </v>
      </c>
      <c r="I2738" t="str">
        <f>"2019/08/19"</f>
        <v>2019/08/19</v>
      </c>
      <c r="J2738" t="str">
        <f>"110"</f>
        <v>110</v>
      </c>
      <c r="K2738" t="str">
        <f>"20270107"</f>
        <v>20270107</v>
      </c>
      <c r="L2738" t="s">
        <v>18</v>
      </c>
      <c r="M2738" t="str">
        <f>"20181128"</f>
        <v>20181128</v>
      </c>
    </row>
    <row r="2739" spans="1:13" x14ac:dyDescent="0.25">
      <c r="A2739" t="str">
        <f>"00522757"</f>
        <v>00522757</v>
      </c>
      <c r="B2739" t="s">
        <v>4027</v>
      </c>
      <c r="C2739" t="s">
        <v>398</v>
      </c>
      <c r="D2739" t="s">
        <v>15</v>
      </c>
      <c r="E2739" t="s">
        <v>26</v>
      </c>
      <c r="F2739" t="s">
        <v>17</v>
      </c>
      <c r="G2739" t="str">
        <f>"03"</f>
        <v>03</v>
      </c>
      <c r="H2739" t="str">
        <f>"3  "</f>
        <v xml:space="preserve">3  </v>
      </c>
      <c r="I2739" t="str">
        <f>"2020/03/19"</f>
        <v>2020/03/19</v>
      </c>
      <c r="J2739" t="str">
        <f>"110"</f>
        <v>110</v>
      </c>
      <c r="K2739" t="str">
        <f>"20210803"</f>
        <v>20210803</v>
      </c>
      <c r="L2739" t="s">
        <v>18</v>
      </c>
      <c r="M2739" t="str">
        <f>"20191003"</f>
        <v>20191003</v>
      </c>
    </row>
    <row r="2740" spans="1:13" x14ac:dyDescent="0.25">
      <c r="A2740" t="str">
        <f>"00465275"</f>
        <v>00465275</v>
      </c>
      <c r="B2740" t="s">
        <v>4027</v>
      </c>
      <c r="C2740" t="s">
        <v>133</v>
      </c>
      <c r="D2740" t="s">
        <v>40</v>
      </c>
      <c r="E2740" t="s">
        <v>16</v>
      </c>
      <c r="F2740" t="s">
        <v>17</v>
      </c>
      <c r="G2740" t="str">
        <f>"03"</f>
        <v>03</v>
      </c>
      <c r="H2740" t="str">
        <f>"3  "</f>
        <v xml:space="preserve">3  </v>
      </c>
      <c r="I2740" t="str">
        <f>"2015/02/02"</f>
        <v>2015/02/02</v>
      </c>
      <c r="J2740" t="str">
        <f>"502"</f>
        <v>502</v>
      </c>
      <c r="K2740" t="str">
        <f>"20280104"</f>
        <v>20280104</v>
      </c>
      <c r="L2740" t="s">
        <v>18</v>
      </c>
      <c r="M2740" t="str">
        <f>"20131202"</f>
        <v>20131202</v>
      </c>
    </row>
    <row r="2741" spans="1:13" x14ac:dyDescent="0.25">
      <c r="A2741" t="str">
        <f>"00233236"</f>
        <v>00233236</v>
      </c>
      <c r="B2741" t="s">
        <v>4027</v>
      </c>
      <c r="C2741" t="s">
        <v>2196</v>
      </c>
      <c r="D2741" t="s">
        <v>21</v>
      </c>
      <c r="E2741" t="s">
        <v>26</v>
      </c>
      <c r="F2741" t="s">
        <v>17</v>
      </c>
      <c r="G2741" t="str">
        <f>"03"</f>
        <v>03</v>
      </c>
      <c r="H2741" t="str">
        <f>"0  "</f>
        <v xml:space="preserve">0  </v>
      </c>
      <c r="I2741" t="str">
        <f>"2020/08/24"</f>
        <v>2020/08/24</v>
      </c>
      <c r="J2741" t="str">
        <f>"410"</f>
        <v>410</v>
      </c>
      <c r="K2741" t="s">
        <v>18</v>
      </c>
      <c r="L2741" t="s">
        <v>18</v>
      </c>
      <c r="M2741" t="s">
        <v>18</v>
      </c>
    </row>
    <row r="2742" spans="1:13" x14ac:dyDescent="0.25">
      <c r="A2742" t="str">
        <f>"00418810"</f>
        <v>00418810</v>
      </c>
      <c r="B2742" t="s">
        <v>4037</v>
      </c>
      <c r="C2742" t="s">
        <v>974</v>
      </c>
      <c r="D2742" t="s">
        <v>61</v>
      </c>
      <c r="E2742" t="s">
        <v>26</v>
      </c>
      <c r="F2742" t="s">
        <v>17</v>
      </c>
      <c r="G2742" t="str">
        <f>"03"</f>
        <v>03</v>
      </c>
      <c r="H2742" t="str">
        <f>"1  "</f>
        <v xml:space="preserve">1  </v>
      </c>
      <c r="I2742" t="str">
        <f>"2020/09/15"</f>
        <v>2020/09/15</v>
      </c>
      <c r="J2742" t="str">
        <f>"512"</f>
        <v>512</v>
      </c>
      <c r="K2742" t="str">
        <f>"20210102"</f>
        <v>20210102</v>
      </c>
      <c r="L2742" t="s">
        <v>18</v>
      </c>
      <c r="M2742" t="str">
        <f>"20200721"</f>
        <v>20200721</v>
      </c>
    </row>
    <row r="2743" spans="1:13" x14ac:dyDescent="0.25">
      <c r="A2743" t="str">
        <f>"00750236"</f>
        <v>00750236</v>
      </c>
      <c r="B2743" t="s">
        <v>4037</v>
      </c>
      <c r="C2743" t="s">
        <v>308</v>
      </c>
      <c r="D2743" t="s">
        <v>21</v>
      </c>
      <c r="E2743" t="s">
        <v>26</v>
      </c>
      <c r="F2743" t="s">
        <v>17</v>
      </c>
      <c r="G2743" t="str">
        <f>"03"</f>
        <v>03</v>
      </c>
      <c r="H2743" t="str">
        <f>"3  "</f>
        <v xml:space="preserve">3  </v>
      </c>
      <c r="I2743" t="str">
        <f>"2019/01/03"</f>
        <v>2019/01/03</v>
      </c>
      <c r="J2743" t="str">
        <f>"110"</f>
        <v>110</v>
      </c>
      <c r="K2743" t="str">
        <f>"20201218"</f>
        <v>20201218</v>
      </c>
      <c r="L2743" t="s">
        <v>18</v>
      </c>
      <c r="M2743" t="str">
        <f>"20180420"</f>
        <v>20180420</v>
      </c>
    </row>
    <row r="2744" spans="1:13" x14ac:dyDescent="0.25">
      <c r="A2744" t="str">
        <f>"00333125"</f>
        <v>00333125</v>
      </c>
      <c r="B2744" t="s">
        <v>4045</v>
      </c>
      <c r="C2744" t="s">
        <v>547</v>
      </c>
      <c r="D2744" t="s">
        <v>21</v>
      </c>
      <c r="E2744" t="s">
        <v>26</v>
      </c>
      <c r="F2744" t="s">
        <v>17</v>
      </c>
      <c r="G2744" t="str">
        <f>"03"</f>
        <v>03</v>
      </c>
      <c r="H2744" t="str">
        <f>"3  "</f>
        <v xml:space="preserve">3  </v>
      </c>
      <c r="I2744" t="str">
        <f>"2017/10/27"</f>
        <v>2017/10/27</v>
      </c>
      <c r="J2744" t="str">
        <f>"534"</f>
        <v>534</v>
      </c>
      <c r="K2744" t="str">
        <f>"20301111"</f>
        <v>20301111</v>
      </c>
      <c r="L2744" t="s">
        <v>18</v>
      </c>
      <c r="M2744" t="str">
        <f>"20040813"</f>
        <v>20040813</v>
      </c>
    </row>
    <row r="2745" spans="1:13" x14ac:dyDescent="0.25">
      <c r="A2745" t="str">
        <f>"00891938"</f>
        <v>00891938</v>
      </c>
      <c r="B2745" t="s">
        <v>4046</v>
      </c>
      <c r="C2745" t="s">
        <v>552</v>
      </c>
      <c r="D2745" t="s">
        <v>47</v>
      </c>
      <c r="E2745" t="s">
        <v>16</v>
      </c>
      <c r="F2745" t="s">
        <v>17</v>
      </c>
      <c r="G2745" t="str">
        <f>"03"</f>
        <v>03</v>
      </c>
      <c r="H2745" t="str">
        <f>"0  "</f>
        <v xml:space="preserve">0  </v>
      </c>
      <c r="I2745" t="str">
        <f>"2020/09/12"</f>
        <v>2020/09/12</v>
      </c>
      <c r="J2745" t="str">
        <f>"410"</f>
        <v>410</v>
      </c>
      <c r="K2745" t="s">
        <v>18</v>
      </c>
      <c r="L2745" t="s">
        <v>18</v>
      </c>
      <c r="M2745" t="s">
        <v>18</v>
      </c>
    </row>
    <row r="2746" spans="1:13" x14ac:dyDescent="0.25">
      <c r="A2746" t="str">
        <f>"00615956"</f>
        <v>00615956</v>
      </c>
      <c r="B2746" t="s">
        <v>4051</v>
      </c>
      <c r="C2746" t="s">
        <v>4053</v>
      </c>
      <c r="D2746" t="s">
        <v>51</v>
      </c>
      <c r="E2746" t="s">
        <v>26</v>
      </c>
      <c r="F2746" t="s">
        <v>17</v>
      </c>
      <c r="G2746" t="str">
        <f>"03"</f>
        <v>03</v>
      </c>
      <c r="H2746" t="str">
        <f>"0  "</f>
        <v xml:space="preserve">0  </v>
      </c>
      <c r="I2746" t="str">
        <f>"2020/07/14"</f>
        <v>2020/07/14</v>
      </c>
      <c r="J2746" t="str">
        <f>"420"</f>
        <v>420</v>
      </c>
      <c r="K2746" t="s">
        <v>18</v>
      </c>
      <c r="L2746" t="s">
        <v>18</v>
      </c>
      <c r="M2746" t="s">
        <v>18</v>
      </c>
    </row>
    <row r="2747" spans="1:13" x14ac:dyDescent="0.25">
      <c r="A2747" t="str">
        <f>"00625613"</f>
        <v>00625613</v>
      </c>
      <c r="B2747" t="s">
        <v>4051</v>
      </c>
      <c r="C2747" t="s">
        <v>790</v>
      </c>
      <c r="D2747" t="s">
        <v>21</v>
      </c>
      <c r="E2747" t="s">
        <v>26</v>
      </c>
      <c r="F2747" t="s">
        <v>17</v>
      </c>
      <c r="G2747" t="str">
        <f>"03"</f>
        <v>03</v>
      </c>
      <c r="H2747" t="str">
        <f>"3  "</f>
        <v xml:space="preserve">3  </v>
      </c>
      <c r="I2747" t="str">
        <f>"2019/08/15"</f>
        <v>2019/08/15</v>
      </c>
      <c r="J2747" t="str">
        <f>"110"</f>
        <v>110</v>
      </c>
      <c r="K2747" t="str">
        <f>"20220325"</f>
        <v>20220325</v>
      </c>
      <c r="L2747" t="s">
        <v>18</v>
      </c>
      <c r="M2747" t="str">
        <f>"20190728"</f>
        <v>20190728</v>
      </c>
    </row>
    <row r="2748" spans="1:13" x14ac:dyDescent="0.25">
      <c r="A2748" t="str">
        <f>"00644525"</f>
        <v>00644525</v>
      </c>
      <c r="B2748" t="s">
        <v>4051</v>
      </c>
      <c r="C2748" t="s">
        <v>308</v>
      </c>
      <c r="D2748" t="s">
        <v>51</v>
      </c>
      <c r="E2748" t="s">
        <v>26</v>
      </c>
      <c r="F2748" t="s">
        <v>17</v>
      </c>
      <c r="G2748" t="str">
        <f>"03"</f>
        <v>03</v>
      </c>
      <c r="H2748" t="str">
        <f>"3  "</f>
        <v xml:space="preserve">3  </v>
      </c>
      <c r="I2748" t="str">
        <f>"2018/08/10"</f>
        <v>2018/08/10</v>
      </c>
      <c r="J2748" t="str">
        <f>"110"</f>
        <v>110</v>
      </c>
      <c r="K2748" t="str">
        <f>"20531120"</f>
        <v>20531120</v>
      </c>
      <c r="L2748" t="s">
        <v>18</v>
      </c>
      <c r="M2748" t="str">
        <f>"20180124"</f>
        <v>20180124</v>
      </c>
    </row>
    <row r="2749" spans="1:13" x14ac:dyDescent="0.25">
      <c r="A2749" t="str">
        <f>"00469183"</f>
        <v>00469183</v>
      </c>
      <c r="B2749" t="s">
        <v>4051</v>
      </c>
      <c r="C2749" t="s">
        <v>55</v>
      </c>
      <c r="D2749" t="s">
        <v>15</v>
      </c>
      <c r="E2749" t="s">
        <v>26</v>
      </c>
      <c r="F2749" t="s">
        <v>17</v>
      </c>
      <c r="G2749" t="str">
        <f>"03"</f>
        <v>03</v>
      </c>
      <c r="H2749" t="str">
        <f>"1  "</f>
        <v xml:space="preserve">1  </v>
      </c>
      <c r="I2749" t="str">
        <f>"2020/03/15"</f>
        <v>2020/03/15</v>
      </c>
      <c r="J2749" t="str">
        <f>"120"</f>
        <v>120</v>
      </c>
      <c r="K2749" t="str">
        <f>"20210112"</f>
        <v>20210112</v>
      </c>
      <c r="L2749" t="s">
        <v>18</v>
      </c>
      <c r="M2749" t="str">
        <f>"20200304"</f>
        <v>20200304</v>
      </c>
    </row>
    <row r="2750" spans="1:13" x14ac:dyDescent="0.25">
      <c r="A2750" t="str">
        <f>"00608230"</f>
        <v>00608230</v>
      </c>
      <c r="B2750" t="s">
        <v>4061</v>
      </c>
      <c r="C2750" t="s">
        <v>4062</v>
      </c>
      <c r="D2750" t="s">
        <v>25</v>
      </c>
      <c r="E2750" t="s">
        <v>16</v>
      </c>
      <c r="F2750" t="s">
        <v>17</v>
      </c>
      <c r="G2750" t="str">
        <f>"03"</f>
        <v>03</v>
      </c>
      <c r="H2750" t="str">
        <f>"3  "</f>
        <v xml:space="preserve">3  </v>
      </c>
      <c r="I2750" t="str">
        <f>"2020/09/09"</f>
        <v>2020/09/09</v>
      </c>
      <c r="J2750" t="str">
        <f>"502"</f>
        <v>502</v>
      </c>
      <c r="K2750" t="str">
        <f>"20321101"</f>
        <v>20321101</v>
      </c>
      <c r="L2750" t="s">
        <v>18</v>
      </c>
      <c r="M2750" t="str">
        <f>"20150507"</f>
        <v>20150507</v>
      </c>
    </row>
    <row r="2751" spans="1:13" x14ac:dyDescent="0.25">
      <c r="A2751" t="str">
        <f>"00264429"</f>
        <v>00264429</v>
      </c>
      <c r="B2751" t="s">
        <v>4066</v>
      </c>
      <c r="C2751" t="s">
        <v>1472</v>
      </c>
      <c r="D2751" t="s">
        <v>45</v>
      </c>
      <c r="E2751" t="s">
        <v>16</v>
      </c>
      <c r="F2751" t="s">
        <v>17</v>
      </c>
      <c r="G2751" t="str">
        <f>"03"</f>
        <v>03</v>
      </c>
      <c r="H2751" t="str">
        <f>"3  "</f>
        <v xml:space="preserve">3  </v>
      </c>
      <c r="I2751" t="str">
        <f>"2018/08/27"</f>
        <v>2018/08/27</v>
      </c>
      <c r="J2751" t="str">
        <f>"110"</f>
        <v>110</v>
      </c>
      <c r="K2751" t="str">
        <f>"20210606"</f>
        <v>20210606</v>
      </c>
      <c r="L2751" t="s">
        <v>18</v>
      </c>
      <c r="M2751" t="str">
        <f>"20180124"</f>
        <v>20180124</v>
      </c>
    </row>
    <row r="2752" spans="1:13" x14ac:dyDescent="0.25">
      <c r="A2752" t="str">
        <f>"00318095"</f>
        <v>00318095</v>
      </c>
      <c r="B2752" t="s">
        <v>4074</v>
      </c>
      <c r="C2752" t="s">
        <v>308</v>
      </c>
      <c r="D2752" t="s">
        <v>61</v>
      </c>
      <c r="E2752" t="s">
        <v>16</v>
      </c>
      <c r="F2752" t="s">
        <v>17</v>
      </c>
      <c r="G2752" t="str">
        <f>"03"</f>
        <v>03</v>
      </c>
      <c r="H2752" t="str">
        <f>"3  "</f>
        <v xml:space="preserve">3  </v>
      </c>
      <c r="I2752" t="str">
        <f>"2015/04/09"</f>
        <v>2015/04/09</v>
      </c>
      <c r="J2752" t="str">
        <f>"534"</f>
        <v>534</v>
      </c>
      <c r="K2752" t="str">
        <f>"20210924"</f>
        <v>20210924</v>
      </c>
      <c r="L2752" t="s">
        <v>18</v>
      </c>
      <c r="M2752" t="str">
        <f>"20091111"</f>
        <v>20091111</v>
      </c>
    </row>
    <row r="2753" spans="1:13" x14ac:dyDescent="0.25">
      <c r="A2753" t="str">
        <f>"00197707"</f>
        <v>00197707</v>
      </c>
      <c r="B2753" t="s">
        <v>153</v>
      </c>
      <c r="C2753" t="s">
        <v>159</v>
      </c>
      <c r="D2753" t="s">
        <v>25</v>
      </c>
      <c r="E2753" t="s">
        <v>26</v>
      </c>
      <c r="F2753" t="s">
        <v>17</v>
      </c>
      <c r="G2753" t="str">
        <f>"04"</f>
        <v>04</v>
      </c>
      <c r="H2753" t="str">
        <f>"3  "</f>
        <v xml:space="preserve">3  </v>
      </c>
      <c r="I2753" t="str">
        <f>"2020/07/15"</f>
        <v>2020/07/15</v>
      </c>
      <c r="J2753" t="str">
        <f>"502"</f>
        <v>502</v>
      </c>
      <c r="K2753" t="str">
        <f>"20201213"</f>
        <v>20201213</v>
      </c>
      <c r="L2753" t="s">
        <v>18</v>
      </c>
      <c r="M2753" t="str">
        <f>"20100407"</f>
        <v>20100407</v>
      </c>
    </row>
    <row r="2754" spans="1:13" x14ac:dyDescent="0.25">
      <c r="A2754" t="str">
        <f>"00401918"</f>
        <v>00401918</v>
      </c>
      <c r="B2754" t="s">
        <v>293</v>
      </c>
      <c r="C2754" t="s">
        <v>294</v>
      </c>
      <c r="D2754" t="s">
        <v>40</v>
      </c>
      <c r="E2754" t="s">
        <v>16</v>
      </c>
      <c r="F2754" t="s">
        <v>17</v>
      </c>
      <c r="G2754" t="str">
        <f>"04"</f>
        <v>04</v>
      </c>
      <c r="H2754" t="str">
        <f>"3  "</f>
        <v xml:space="preserve">3  </v>
      </c>
      <c r="I2754" t="str">
        <f>"2020/08/03"</f>
        <v>2020/08/03</v>
      </c>
      <c r="J2754" t="str">
        <f>"510"</f>
        <v>510</v>
      </c>
      <c r="K2754" t="str">
        <f>"20400226"</f>
        <v>20400226</v>
      </c>
      <c r="L2754" t="s">
        <v>18</v>
      </c>
      <c r="M2754" t="str">
        <f>"20270714"</f>
        <v>20270714</v>
      </c>
    </row>
    <row r="2755" spans="1:13" x14ac:dyDescent="0.25">
      <c r="A2755" t="str">
        <f>"00689849"</f>
        <v>00689849</v>
      </c>
      <c r="B2755" t="s">
        <v>295</v>
      </c>
      <c r="C2755" t="s">
        <v>296</v>
      </c>
      <c r="D2755" t="s">
        <v>45</v>
      </c>
      <c r="E2755" t="s">
        <v>26</v>
      </c>
      <c r="F2755" t="s">
        <v>17</v>
      </c>
      <c r="G2755" t="str">
        <f>"04"</f>
        <v>04</v>
      </c>
      <c r="H2755" t="str">
        <f>"1  "</f>
        <v xml:space="preserve">1  </v>
      </c>
      <c r="I2755" t="str">
        <f>"2020/08/19"</f>
        <v>2020/08/19</v>
      </c>
      <c r="J2755" t="str">
        <f>"502"</f>
        <v>502</v>
      </c>
      <c r="K2755" t="str">
        <f>"20210123"</f>
        <v>20210123</v>
      </c>
      <c r="L2755" t="s">
        <v>18</v>
      </c>
      <c r="M2755" t="str">
        <f>"20200812"</f>
        <v>20200812</v>
      </c>
    </row>
    <row r="2756" spans="1:13" x14ac:dyDescent="0.25">
      <c r="A2756" t="str">
        <f>"00439815"</f>
        <v>00439815</v>
      </c>
      <c r="B2756" t="s">
        <v>448</v>
      </c>
      <c r="C2756" t="s">
        <v>449</v>
      </c>
      <c r="D2756" t="s">
        <v>26</v>
      </c>
      <c r="E2756" t="s">
        <v>26</v>
      </c>
      <c r="F2756" t="s">
        <v>17</v>
      </c>
      <c r="G2756" t="str">
        <f>"04"</f>
        <v>04</v>
      </c>
      <c r="H2756" t="str">
        <f>"1  "</f>
        <v xml:space="preserve">1  </v>
      </c>
      <c r="I2756" t="str">
        <f>"2020/04/22"</f>
        <v>2020/04/22</v>
      </c>
      <c r="J2756" t="str">
        <f>"510"</f>
        <v>510</v>
      </c>
      <c r="K2756" t="str">
        <f>"20210222"</f>
        <v>20210222</v>
      </c>
      <c r="L2756" t="s">
        <v>18</v>
      </c>
      <c r="M2756" t="str">
        <f>"20200413"</f>
        <v>20200413</v>
      </c>
    </row>
    <row r="2757" spans="1:13" x14ac:dyDescent="0.25">
      <c r="A2757" t="str">
        <f>"00442066"</f>
        <v>00442066</v>
      </c>
      <c r="B2757" t="s">
        <v>454</v>
      </c>
      <c r="C2757" t="s">
        <v>455</v>
      </c>
      <c r="D2757" t="s">
        <v>456</v>
      </c>
      <c r="E2757" t="s">
        <v>26</v>
      </c>
      <c r="F2757" t="s">
        <v>17</v>
      </c>
      <c r="G2757" t="str">
        <f>"04"</f>
        <v>04</v>
      </c>
      <c r="H2757" t="str">
        <f>"3  "</f>
        <v xml:space="preserve">3  </v>
      </c>
      <c r="I2757" t="str">
        <f>"2020/07/01"</f>
        <v>2020/07/01</v>
      </c>
      <c r="J2757" t="str">
        <f>"510"</f>
        <v>510</v>
      </c>
      <c r="K2757" t="str">
        <f>"20201022"</f>
        <v>20201022</v>
      </c>
      <c r="L2757" t="s">
        <v>18</v>
      </c>
      <c r="M2757" t="str">
        <f>"20190125"</f>
        <v>20190125</v>
      </c>
    </row>
    <row r="2758" spans="1:13" x14ac:dyDescent="0.25">
      <c r="A2758" t="str">
        <f>"00638335"</f>
        <v>00638335</v>
      </c>
      <c r="B2758" t="s">
        <v>513</v>
      </c>
      <c r="C2758" t="s">
        <v>514</v>
      </c>
      <c r="D2758" t="s">
        <v>25</v>
      </c>
      <c r="E2758" t="s">
        <v>26</v>
      </c>
      <c r="F2758" t="s">
        <v>17</v>
      </c>
      <c r="G2758" t="str">
        <f>"04"</f>
        <v>04</v>
      </c>
      <c r="H2758" t="str">
        <f>"1  "</f>
        <v xml:space="preserve">1  </v>
      </c>
      <c r="I2758" t="str">
        <f>"2020/08/04"</f>
        <v>2020/08/04</v>
      </c>
      <c r="J2758" t="str">
        <f>"510"</f>
        <v>510</v>
      </c>
      <c r="K2758" t="str">
        <f>"20201120"</f>
        <v>20201120</v>
      </c>
      <c r="L2758" t="s">
        <v>18</v>
      </c>
      <c r="M2758" t="str">
        <f>"20200218"</f>
        <v>20200218</v>
      </c>
    </row>
    <row r="2759" spans="1:13" x14ac:dyDescent="0.25">
      <c r="A2759" t="str">
        <f>"00528158"</f>
        <v>00528158</v>
      </c>
      <c r="B2759" t="s">
        <v>539</v>
      </c>
      <c r="C2759" t="s">
        <v>74</v>
      </c>
      <c r="D2759" t="s">
        <v>40</v>
      </c>
      <c r="E2759" t="s">
        <v>26</v>
      </c>
      <c r="F2759" t="s">
        <v>17</v>
      </c>
      <c r="G2759" t="str">
        <f>"04"</f>
        <v>04</v>
      </c>
      <c r="H2759" t="str">
        <f>"3  "</f>
        <v xml:space="preserve">3  </v>
      </c>
      <c r="I2759" t="str">
        <f>"2020/09/02"</f>
        <v>2020/09/02</v>
      </c>
      <c r="J2759" t="str">
        <f>"510"</f>
        <v>510</v>
      </c>
      <c r="K2759" t="str">
        <f>"20210205"</f>
        <v>20210205</v>
      </c>
      <c r="L2759" t="s">
        <v>18</v>
      </c>
      <c r="M2759" t="str">
        <f>"20161205"</f>
        <v>20161205</v>
      </c>
    </row>
    <row r="2760" spans="1:13" x14ac:dyDescent="0.25">
      <c r="A2760" t="str">
        <f>"00528813"</f>
        <v>00528813</v>
      </c>
      <c r="B2760" t="s">
        <v>553</v>
      </c>
      <c r="C2760" t="s">
        <v>144</v>
      </c>
      <c r="D2760" t="s">
        <v>26</v>
      </c>
      <c r="E2760" t="s">
        <v>26</v>
      </c>
      <c r="F2760" t="s">
        <v>17</v>
      </c>
      <c r="G2760" t="str">
        <f>"04"</f>
        <v>04</v>
      </c>
      <c r="H2760" t="str">
        <f>"3  "</f>
        <v xml:space="preserve">3  </v>
      </c>
      <c r="I2760" t="str">
        <f>"2020/09/02"</f>
        <v>2020/09/02</v>
      </c>
      <c r="J2760" t="str">
        <f>"510"</f>
        <v>510</v>
      </c>
      <c r="K2760" t="str">
        <f>"20210130"</f>
        <v>20210130</v>
      </c>
      <c r="L2760" t="s">
        <v>18</v>
      </c>
      <c r="M2760" t="str">
        <f>"20161201"</f>
        <v>20161201</v>
      </c>
    </row>
    <row r="2761" spans="1:13" x14ac:dyDescent="0.25">
      <c r="A2761" t="str">
        <f>"00356958"</f>
        <v>00356958</v>
      </c>
      <c r="B2761" t="s">
        <v>634</v>
      </c>
      <c r="C2761" t="s">
        <v>248</v>
      </c>
      <c r="D2761" t="s">
        <v>51</v>
      </c>
      <c r="E2761" t="s">
        <v>26</v>
      </c>
      <c r="F2761" t="s">
        <v>17</v>
      </c>
      <c r="G2761" t="str">
        <f>"04"</f>
        <v>04</v>
      </c>
      <c r="H2761" t="str">
        <f>"1  "</f>
        <v xml:space="preserve">1  </v>
      </c>
      <c r="I2761" t="str">
        <f>"2020/05/20"</f>
        <v>2020/05/20</v>
      </c>
      <c r="J2761" t="str">
        <f>"510"</f>
        <v>510</v>
      </c>
      <c r="K2761" t="str">
        <f>"20200926"</f>
        <v>20200926</v>
      </c>
      <c r="L2761" t="s">
        <v>18</v>
      </c>
      <c r="M2761" t="str">
        <f>"20200504"</f>
        <v>20200504</v>
      </c>
    </row>
    <row r="2762" spans="1:13" x14ac:dyDescent="0.25">
      <c r="A2762" t="str">
        <f>"00351096"</f>
        <v>00351096</v>
      </c>
      <c r="B2762" t="s">
        <v>749</v>
      </c>
      <c r="C2762" t="s">
        <v>74</v>
      </c>
      <c r="D2762" t="s">
        <v>53</v>
      </c>
      <c r="E2762" t="s">
        <v>16</v>
      </c>
      <c r="F2762" t="s">
        <v>17</v>
      </c>
      <c r="G2762" t="str">
        <f>"04"</f>
        <v>04</v>
      </c>
      <c r="H2762" t="str">
        <f>"1  "</f>
        <v xml:space="preserve">1  </v>
      </c>
      <c r="I2762" t="str">
        <f>"2020/08/04"</f>
        <v>2020/08/04</v>
      </c>
      <c r="J2762" t="str">
        <f>"512"</f>
        <v>512</v>
      </c>
      <c r="K2762" t="str">
        <f>"20201125"</f>
        <v>20201125</v>
      </c>
      <c r="L2762" t="s">
        <v>18</v>
      </c>
      <c r="M2762" t="str">
        <f>"20200614"</f>
        <v>20200614</v>
      </c>
    </row>
    <row r="2763" spans="1:13" x14ac:dyDescent="0.25">
      <c r="A2763" t="str">
        <f>"00532086"</f>
        <v>00532086</v>
      </c>
      <c r="B2763" t="s">
        <v>783</v>
      </c>
      <c r="C2763" t="s">
        <v>790</v>
      </c>
      <c r="D2763" t="s">
        <v>53</v>
      </c>
      <c r="E2763" t="s">
        <v>26</v>
      </c>
      <c r="F2763" t="s">
        <v>17</v>
      </c>
      <c r="G2763" t="str">
        <f>"04"</f>
        <v>04</v>
      </c>
      <c r="H2763" t="str">
        <f>"1  "</f>
        <v xml:space="preserve">1  </v>
      </c>
      <c r="I2763" t="str">
        <f>"2020/06/16"</f>
        <v>2020/06/16</v>
      </c>
      <c r="J2763" t="str">
        <f>"110"</f>
        <v>110</v>
      </c>
      <c r="K2763" t="str">
        <f>"20201123"</f>
        <v>20201123</v>
      </c>
      <c r="L2763" t="s">
        <v>18</v>
      </c>
      <c r="M2763" t="str">
        <f>"20200616"</f>
        <v>20200616</v>
      </c>
    </row>
    <row r="2764" spans="1:13" x14ac:dyDescent="0.25">
      <c r="A2764" t="str">
        <f>"00809780"</f>
        <v>00809780</v>
      </c>
      <c r="B2764" t="s">
        <v>818</v>
      </c>
      <c r="C2764" t="s">
        <v>308</v>
      </c>
      <c r="D2764" t="s">
        <v>25</v>
      </c>
      <c r="E2764" t="s">
        <v>16</v>
      </c>
      <c r="F2764" t="s">
        <v>17</v>
      </c>
      <c r="G2764" t="str">
        <f>"04"</f>
        <v>04</v>
      </c>
      <c r="H2764" t="str">
        <f>"3  "</f>
        <v xml:space="preserve">3  </v>
      </c>
      <c r="I2764" t="str">
        <f>"2020/08/04"</f>
        <v>2020/08/04</v>
      </c>
      <c r="J2764" t="str">
        <f>"502"</f>
        <v>502</v>
      </c>
      <c r="K2764" t="str">
        <f>"20210120"</f>
        <v>20210120</v>
      </c>
      <c r="L2764" t="s">
        <v>18</v>
      </c>
      <c r="M2764" t="str">
        <f>"20190419"</f>
        <v>20190419</v>
      </c>
    </row>
    <row r="2765" spans="1:13" x14ac:dyDescent="0.25">
      <c r="A2765" t="str">
        <f>"00652933"</f>
        <v>00652933</v>
      </c>
      <c r="B2765" t="s">
        <v>888</v>
      </c>
      <c r="C2765" t="s">
        <v>889</v>
      </c>
      <c r="D2765" t="s">
        <v>61</v>
      </c>
      <c r="E2765" t="s">
        <v>26</v>
      </c>
      <c r="F2765" t="s">
        <v>17</v>
      </c>
      <c r="G2765" t="str">
        <f>"04"</f>
        <v>04</v>
      </c>
      <c r="H2765" t="str">
        <f>"3  "</f>
        <v xml:space="preserve">3  </v>
      </c>
      <c r="I2765" t="str">
        <f>"2020/08/04"</f>
        <v>2020/08/04</v>
      </c>
      <c r="J2765" t="str">
        <f>"510"</f>
        <v>510</v>
      </c>
      <c r="K2765" t="str">
        <f>"20210512"</f>
        <v>20210512</v>
      </c>
      <c r="L2765" t="s">
        <v>18</v>
      </c>
      <c r="M2765" t="str">
        <f>"20140827"</f>
        <v>20140827</v>
      </c>
    </row>
    <row r="2766" spans="1:13" x14ac:dyDescent="0.25">
      <c r="A2766" t="str">
        <f>"00789476"</f>
        <v>00789476</v>
      </c>
      <c r="B2766" t="s">
        <v>912</v>
      </c>
      <c r="C2766" t="s">
        <v>233</v>
      </c>
      <c r="D2766" t="s">
        <v>25</v>
      </c>
      <c r="E2766" t="s">
        <v>26</v>
      </c>
      <c r="F2766" t="s">
        <v>17</v>
      </c>
      <c r="G2766" t="str">
        <f>"04"</f>
        <v>04</v>
      </c>
      <c r="H2766" t="str">
        <f>"1  "</f>
        <v xml:space="preserve">1  </v>
      </c>
      <c r="I2766" t="str">
        <f>"2020/09/02"</f>
        <v>2020/09/02</v>
      </c>
      <c r="J2766" t="str">
        <f>"502"</f>
        <v>502</v>
      </c>
      <c r="K2766" t="str">
        <f>"20210207"</f>
        <v>20210207</v>
      </c>
      <c r="L2766" t="s">
        <v>18</v>
      </c>
      <c r="M2766" t="str">
        <f>"20200826"</f>
        <v>20200826</v>
      </c>
    </row>
    <row r="2767" spans="1:13" x14ac:dyDescent="0.25">
      <c r="A2767" t="str">
        <f>"00732697"</f>
        <v>00732697</v>
      </c>
      <c r="B2767" t="s">
        <v>982</v>
      </c>
      <c r="C2767" t="s">
        <v>983</v>
      </c>
      <c r="D2767" t="s">
        <v>16</v>
      </c>
      <c r="E2767" t="s">
        <v>26</v>
      </c>
      <c r="F2767" t="s">
        <v>17</v>
      </c>
      <c r="G2767" t="str">
        <f>"04"</f>
        <v>04</v>
      </c>
      <c r="H2767" t="str">
        <f>"1  "</f>
        <v xml:space="preserve">1  </v>
      </c>
      <c r="I2767" t="str">
        <f>"2020/09/16"</f>
        <v>2020/09/16</v>
      </c>
      <c r="J2767" t="str">
        <f>"510"</f>
        <v>510</v>
      </c>
      <c r="K2767" t="str">
        <f>"20210715"</f>
        <v>20210715</v>
      </c>
      <c r="L2767" t="s">
        <v>18</v>
      </c>
      <c r="M2767" t="str">
        <f>"20200717"</f>
        <v>20200717</v>
      </c>
    </row>
    <row r="2768" spans="1:13" x14ac:dyDescent="0.25">
      <c r="A2768" t="str">
        <f>"00292002"</f>
        <v>00292002</v>
      </c>
      <c r="B2768" t="s">
        <v>986</v>
      </c>
      <c r="C2768" t="s">
        <v>156</v>
      </c>
      <c r="D2768" t="s">
        <v>45</v>
      </c>
      <c r="E2768" t="s">
        <v>26</v>
      </c>
      <c r="F2768" t="s">
        <v>17</v>
      </c>
      <c r="G2768" t="str">
        <f>"04"</f>
        <v>04</v>
      </c>
      <c r="H2768" t="str">
        <f>"3  "</f>
        <v xml:space="preserve">3  </v>
      </c>
      <c r="I2768" t="str">
        <f>"2020/02/26"</f>
        <v>2020/02/26</v>
      </c>
      <c r="J2768" t="str">
        <f>"510"</f>
        <v>510</v>
      </c>
      <c r="K2768" t="str">
        <f>"20210817"</f>
        <v>20210817</v>
      </c>
      <c r="L2768" t="s">
        <v>18</v>
      </c>
      <c r="M2768" t="str">
        <f>"20161011"</f>
        <v>20161011</v>
      </c>
    </row>
    <row r="2769" spans="1:13" x14ac:dyDescent="0.25">
      <c r="A2769" t="str">
        <f>"00485039"</f>
        <v>00485039</v>
      </c>
      <c r="B2769" t="s">
        <v>1040</v>
      </c>
      <c r="C2769" t="s">
        <v>125</v>
      </c>
      <c r="D2769" t="s">
        <v>142</v>
      </c>
      <c r="E2769" t="s">
        <v>26</v>
      </c>
      <c r="F2769" t="s">
        <v>17</v>
      </c>
      <c r="G2769" t="str">
        <f>"04"</f>
        <v>04</v>
      </c>
      <c r="H2769" t="str">
        <f>"1  "</f>
        <v xml:space="preserve">1  </v>
      </c>
      <c r="I2769" t="str">
        <f>"2020/08/03"</f>
        <v>2020/08/03</v>
      </c>
      <c r="J2769" t="str">
        <f>"510"</f>
        <v>510</v>
      </c>
      <c r="K2769" t="str">
        <f>"20201102"</f>
        <v>20201102</v>
      </c>
      <c r="L2769" t="s">
        <v>18</v>
      </c>
      <c r="M2769" t="str">
        <f>"20200716"</f>
        <v>20200716</v>
      </c>
    </row>
    <row r="2770" spans="1:13" x14ac:dyDescent="0.25">
      <c r="A2770" t="str">
        <f>"00579118"</f>
        <v>00579118</v>
      </c>
      <c r="B2770" t="s">
        <v>1083</v>
      </c>
      <c r="C2770" t="s">
        <v>136</v>
      </c>
      <c r="D2770" t="s">
        <v>15</v>
      </c>
      <c r="E2770" t="s">
        <v>26</v>
      </c>
      <c r="F2770" t="s">
        <v>17</v>
      </c>
      <c r="G2770" t="str">
        <f>"04"</f>
        <v>04</v>
      </c>
      <c r="H2770" t="str">
        <f>"1  "</f>
        <v xml:space="preserve">1  </v>
      </c>
      <c r="I2770" t="str">
        <f>"2020/09/08"</f>
        <v>2020/09/08</v>
      </c>
      <c r="J2770" t="str">
        <f>"510"</f>
        <v>510</v>
      </c>
      <c r="K2770" t="str">
        <f>"20210217"</f>
        <v>20210217</v>
      </c>
      <c r="L2770" t="s">
        <v>18</v>
      </c>
      <c r="M2770" t="str">
        <f>"20200908"</f>
        <v>20200908</v>
      </c>
    </row>
    <row r="2771" spans="1:13" x14ac:dyDescent="0.25">
      <c r="A2771" t="str">
        <f>"00268625"</f>
        <v>00268625</v>
      </c>
      <c r="B2771" t="s">
        <v>1091</v>
      </c>
      <c r="C2771" t="s">
        <v>777</v>
      </c>
      <c r="D2771" t="s">
        <v>25</v>
      </c>
      <c r="E2771" t="s">
        <v>16</v>
      </c>
      <c r="F2771" t="s">
        <v>17</v>
      </c>
      <c r="G2771" t="str">
        <f>"04"</f>
        <v>04</v>
      </c>
      <c r="H2771" t="str">
        <f>"1  "</f>
        <v xml:space="preserve">1  </v>
      </c>
      <c r="I2771" t="str">
        <f>"2020/08/03"</f>
        <v>2020/08/03</v>
      </c>
      <c r="J2771" t="str">
        <f>"510"</f>
        <v>510</v>
      </c>
      <c r="K2771" t="str">
        <f>"20201223"</f>
        <v>20201223</v>
      </c>
      <c r="L2771" t="s">
        <v>18</v>
      </c>
      <c r="M2771" t="str">
        <f>"20200716"</f>
        <v>20200716</v>
      </c>
    </row>
    <row r="2772" spans="1:13" x14ac:dyDescent="0.25">
      <c r="A2772" t="str">
        <f>"00249612"</f>
        <v>00249612</v>
      </c>
      <c r="B2772" t="s">
        <v>1151</v>
      </c>
      <c r="C2772" t="s">
        <v>49</v>
      </c>
      <c r="D2772" t="s">
        <v>80</v>
      </c>
      <c r="E2772" t="s">
        <v>16</v>
      </c>
      <c r="F2772" t="s">
        <v>17</v>
      </c>
      <c r="G2772" t="str">
        <f>"04"</f>
        <v>04</v>
      </c>
      <c r="H2772" t="str">
        <f>"1  "</f>
        <v xml:space="preserve">1  </v>
      </c>
      <c r="I2772" t="str">
        <f>"2020/08/17"</f>
        <v>2020/08/17</v>
      </c>
      <c r="J2772" t="str">
        <f>"510"</f>
        <v>510</v>
      </c>
      <c r="K2772" t="str">
        <f>"20201206"</f>
        <v>20201206</v>
      </c>
      <c r="L2772" t="s">
        <v>18</v>
      </c>
      <c r="M2772" t="str">
        <f>"20200704"</f>
        <v>20200704</v>
      </c>
    </row>
    <row r="2773" spans="1:13" x14ac:dyDescent="0.25">
      <c r="A2773" t="str">
        <f>"00107509"</f>
        <v>00107509</v>
      </c>
      <c r="B2773" t="s">
        <v>1174</v>
      </c>
      <c r="C2773" t="s">
        <v>146</v>
      </c>
      <c r="D2773" t="s">
        <v>25</v>
      </c>
      <c r="E2773" t="s">
        <v>26</v>
      </c>
      <c r="F2773" t="s">
        <v>17</v>
      </c>
      <c r="G2773" t="str">
        <f>"04"</f>
        <v>04</v>
      </c>
      <c r="H2773" t="str">
        <f>"3  "</f>
        <v xml:space="preserve">3  </v>
      </c>
      <c r="I2773" t="str">
        <f>"2020/06/03"</f>
        <v>2020/06/03</v>
      </c>
      <c r="J2773" t="str">
        <f>"510"</f>
        <v>510</v>
      </c>
      <c r="K2773" t="str">
        <f>"20211101"</f>
        <v>20211101</v>
      </c>
      <c r="L2773" t="s">
        <v>18</v>
      </c>
      <c r="M2773" t="str">
        <f>"20200212"</f>
        <v>20200212</v>
      </c>
    </row>
    <row r="2774" spans="1:13" x14ac:dyDescent="0.25">
      <c r="A2774" t="str">
        <f>"00546368"</f>
        <v>00546368</v>
      </c>
      <c r="B2774" t="s">
        <v>1254</v>
      </c>
      <c r="C2774" t="s">
        <v>1255</v>
      </c>
      <c r="D2774" t="s">
        <v>21</v>
      </c>
      <c r="E2774" t="s">
        <v>26</v>
      </c>
      <c r="F2774" t="s">
        <v>17</v>
      </c>
      <c r="G2774" t="str">
        <f>"04"</f>
        <v>04</v>
      </c>
      <c r="H2774" t="str">
        <f>"1  "</f>
        <v xml:space="preserve">1  </v>
      </c>
      <c r="I2774" t="str">
        <f>"2020/05/06"</f>
        <v>2020/05/06</v>
      </c>
      <c r="J2774" t="str">
        <f>"510"</f>
        <v>510</v>
      </c>
      <c r="K2774" t="str">
        <f>"20200929"</f>
        <v>20200929</v>
      </c>
      <c r="L2774" t="s">
        <v>18</v>
      </c>
      <c r="M2774" t="str">
        <f>"20200427"</f>
        <v>20200427</v>
      </c>
    </row>
    <row r="2775" spans="1:13" x14ac:dyDescent="0.25">
      <c r="A2775" t="str">
        <f>"00277658"</f>
        <v>00277658</v>
      </c>
      <c r="B2775" t="s">
        <v>1430</v>
      </c>
      <c r="C2775" t="s">
        <v>99</v>
      </c>
      <c r="D2775" t="s">
        <v>121</v>
      </c>
      <c r="E2775" t="s">
        <v>26</v>
      </c>
      <c r="F2775" t="s">
        <v>17</v>
      </c>
      <c r="G2775" t="str">
        <f>"04"</f>
        <v>04</v>
      </c>
      <c r="H2775" t="str">
        <f>"3  "</f>
        <v xml:space="preserve">3  </v>
      </c>
      <c r="I2775" t="str">
        <f>"2020/08/03"</f>
        <v>2020/08/03</v>
      </c>
      <c r="J2775" t="str">
        <f>"510"</f>
        <v>510</v>
      </c>
      <c r="K2775" t="str">
        <f>"20200929"</f>
        <v>20200929</v>
      </c>
      <c r="L2775" t="s">
        <v>18</v>
      </c>
      <c r="M2775" t="str">
        <f>"20160720"</f>
        <v>20160720</v>
      </c>
    </row>
    <row r="2776" spans="1:13" x14ac:dyDescent="0.25">
      <c r="A2776" t="str">
        <f>"00506288"</f>
        <v>00506288</v>
      </c>
      <c r="B2776" t="s">
        <v>1499</v>
      </c>
      <c r="C2776" t="s">
        <v>1314</v>
      </c>
      <c r="D2776" t="s">
        <v>80</v>
      </c>
      <c r="E2776" t="s">
        <v>26</v>
      </c>
      <c r="F2776" t="s">
        <v>17</v>
      </c>
      <c r="G2776" t="str">
        <f>"04"</f>
        <v>04</v>
      </c>
      <c r="H2776" t="str">
        <f>"1  "</f>
        <v xml:space="preserve">1  </v>
      </c>
      <c r="I2776" t="str">
        <f>"2020/09/02"</f>
        <v>2020/09/02</v>
      </c>
      <c r="J2776" t="str">
        <f>"510"</f>
        <v>510</v>
      </c>
      <c r="K2776" t="str">
        <f>"20210710"</f>
        <v>20210710</v>
      </c>
      <c r="L2776" t="s">
        <v>18</v>
      </c>
      <c r="M2776" t="str">
        <f>"20200819"</f>
        <v>20200819</v>
      </c>
    </row>
    <row r="2777" spans="1:13" x14ac:dyDescent="0.25">
      <c r="A2777" t="str">
        <f>"00266947"</f>
        <v>00266947</v>
      </c>
      <c r="B2777" t="s">
        <v>1508</v>
      </c>
      <c r="C2777" t="s">
        <v>385</v>
      </c>
      <c r="D2777" t="s">
        <v>45</v>
      </c>
      <c r="E2777" t="s">
        <v>26</v>
      </c>
      <c r="F2777" t="s">
        <v>17</v>
      </c>
      <c r="G2777" t="str">
        <f>"04"</f>
        <v>04</v>
      </c>
      <c r="H2777" t="str">
        <f>"3  "</f>
        <v xml:space="preserve">3  </v>
      </c>
      <c r="I2777" t="str">
        <f>"2020/09/16"</f>
        <v>2020/09/16</v>
      </c>
      <c r="J2777" t="str">
        <f>"512"</f>
        <v>512</v>
      </c>
      <c r="K2777" t="str">
        <f>"20210115"</f>
        <v>20210115</v>
      </c>
      <c r="L2777" t="s">
        <v>18</v>
      </c>
      <c r="M2777" t="str">
        <f>"20070330"</f>
        <v>20070330</v>
      </c>
    </row>
    <row r="2778" spans="1:13" x14ac:dyDescent="0.25">
      <c r="A2778" t="str">
        <f>"00769801"</f>
        <v>00769801</v>
      </c>
      <c r="B2778" t="s">
        <v>1597</v>
      </c>
      <c r="C2778" t="s">
        <v>1598</v>
      </c>
      <c r="D2778" t="s">
        <v>21</v>
      </c>
      <c r="E2778" t="s">
        <v>26</v>
      </c>
      <c r="F2778" t="s">
        <v>17</v>
      </c>
      <c r="G2778" t="str">
        <f>"04"</f>
        <v>04</v>
      </c>
      <c r="H2778" t="str">
        <f>"1  "</f>
        <v xml:space="preserve">1  </v>
      </c>
      <c r="I2778" t="str">
        <f>"2020/08/03"</f>
        <v>2020/08/03</v>
      </c>
      <c r="J2778" t="str">
        <f>"510"</f>
        <v>510</v>
      </c>
      <c r="K2778" t="str">
        <f>"20210103"</f>
        <v>20210103</v>
      </c>
      <c r="L2778" t="s">
        <v>18</v>
      </c>
      <c r="M2778" t="str">
        <f>"20200725"</f>
        <v>20200725</v>
      </c>
    </row>
    <row r="2779" spans="1:13" x14ac:dyDescent="0.25">
      <c r="A2779" t="str">
        <f>"00630354"</f>
        <v>00630354</v>
      </c>
      <c r="B2779" t="s">
        <v>1610</v>
      </c>
      <c r="C2779" t="s">
        <v>96</v>
      </c>
      <c r="D2779" t="s">
        <v>25</v>
      </c>
      <c r="E2779" t="s">
        <v>26</v>
      </c>
      <c r="F2779" t="s">
        <v>17</v>
      </c>
      <c r="G2779" t="str">
        <f>"04"</f>
        <v>04</v>
      </c>
      <c r="H2779" t="str">
        <f>"3  "</f>
        <v xml:space="preserve">3  </v>
      </c>
      <c r="I2779" t="str">
        <f>"2019/12/20"</f>
        <v>2019/12/20</v>
      </c>
      <c r="J2779" t="str">
        <f>"510"</f>
        <v>510</v>
      </c>
      <c r="K2779" t="str">
        <f>"20210808"</f>
        <v>20210808</v>
      </c>
      <c r="L2779" t="s">
        <v>18</v>
      </c>
      <c r="M2779" t="str">
        <f>"20170705"</f>
        <v>20170705</v>
      </c>
    </row>
    <row r="2780" spans="1:13" x14ac:dyDescent="0.25">
      <c r="A2780" t="str">
        <f>"00616310"</f>
        <v>00616310</v>
      </c>
      <c r="B2780" t="s">
        <v>1616</v>
      </c>
      <c r="C2780" t="s">
        <v>762</v>
      </c>
      <c r="D2780" t="s">
        <v>25</v>
      </c>
      <c r="E2780" t="s">
        <v>26</v>
      </c>
      <c r="F2780" t="s">
        <v>17</v>
      </c>
      <c r="G2780" t="str">
        <f>"04"</f>
        <v>04</v>
      </c>
      <c r="H2780" t="str">
        <f>"1  "</f>
        <v xml:space="preserve">1  </v>
      </c>
      <c r="I2780" t="str">
        <f>"2020/09/04"</f>
        <v>2020/09/04</v>
      </c>
      <c r="J2780" t="str">
        <f>"110"</f>
        <v>110</v>
      </c>
      <c r="K2780" t="str">
        <f>"20210219"</f>
        <v>20210219</v>
      </c>
      <c r="L2780" t="s">
        <v>18</v>
      </c>
      <c r="M2780" t="str">
        <f>"20200904"</f>
        <v>20200904</v>
      </c>
    </row>
    <row r="2781" spans="1:13" x14ac:dyDescent="0.25">
      <c r="A2781" t="str">
        <f>"00332324"</f>
        <v>00332324</v>
      </c>
      <c r="B2781" t="s">
        <v>1680</v>
      </c>
      <c r="C2781" t="s">
        <v>74</v>
      </c>
      <c r="D2781" t="s">
        <v>51</v>
      </c>
      <c r="E2781" t="s">
        <v>16</v>
      </c>
      <c r="F2781" t="s">
        <v>17</v>
      </c>
      <c r="G2781" t="str">
        <f>"04"</f>
        <v>04</v>
      </c>
      <c r="H2781" t="str">
        <f>"1  "</f>
        <v xml:space="preserve">1  </v>
      </c>
      <c r="I2781" t="str">
        <f>"2020/09/16"</f>
        <v>2020/09/16</v>
      </c>
      <c r="J2781" t="str">
        <f>"510"</f>
        <v>510</v>
      </c>
      <c r="K2781" t="str">
        <f>"20201122"</f>
        <v>20201122</v>
      </c>
      <c r="L2781" t="s">
        <v>18</v>
      </c>
      <c r="M2781" t="str">
        <f>"20200908"</f>
        <v>20200908</v>
      </c>
    </row>
    <row r="2782" spans="1:13" x14ac:dyDescent="0.25">
      <c r="A2782" t="str">
        <f>"00231747"</f>
        <v>00231747</v>
      </c>
      <c r="B2782" t="s">
        <v>1714</v>
      </c>
      <c r="C2782" t="s">
        <v>22</v>
      </c>
      <c r="D2782" t="s">
        <v>73</v>
      </c>
      <c r="E2782" t="s">
        <v>16</v>
      </c>
      <c r="F2782" t="s">
        <v>17</v>
      </c>
      <c r="G2782" t="str">
        <f>"04"</f>
        <v>04</v>
      </c>
      <c r="H2782" t="str">
        <f>"1  "</f>
        <v xml:space="preserve">1  </v>
      </c>
      <c r="I2782" t="str">
        <f>"2020/06/03"</f>
        <v>2020/06/03</v>
      </c>
      <c r="J2782" t="str">
        <f>"510"</f>
        <v>510</v>
      </c>
      <c r="K2782" t="str">
        <f>"20201015"</f>
        <v>20201015</v>
      </c>
      <c r="L2782" t="s">
        <v>18</v>
      </c>
      <c r="M2782" t="str">
        <f>"20200523"</f>
        <v>20200523</v>
      </c>
    </row>
    <row r="2783" spans="1:13" x14ac:dyDescent="0.25">
      <c r="A2783" t="str">
        <f>"00917375"</f>
        <v>00917375</v>
      </c>
      <c r="B2783" t="s">
        <v>1840</v>
      </c>
      <c r="C2783" t="s">
        <v>1845</v>
      </c>
      <c r="D2783" t="s">
        <v>16</v>
      </c>
      <c r="E2783" t="s">
        <v>26</v>
      </c>
      <c r="F2783" t="s">
        <v>17</v>
      </c>
      <c r="G2783" t="str">
        <f>"04"</f>
        <v>04</v>
      </c>
      <c r="H2783" t="str">
        <f>"1  "</f>
        <v xml:space="preserve">1  </v>
      </c>
      <c r="I2783" t="str">
        <f>"2020/09/02"</f>
        <v>2020/09/02</v>
      </c>
      <c r="J2783" t="str">
        <f>"510"</f>
        <v>510</v>
      </c>
      <c r="K2783" t="str">
        <f>"20210209"</f>
        <v>20210209</v>
      </c>
      <c r="L2783" t="s">
        <v>18</v>
      </c>
      <c r="M2783" t="str">
        <f>"20200827"</f>
        <v>20200827</v>
      </c>
    </row>
    <row r="2784" spans="1:13" x14ac:dyDescent="0.25">
      <c r="A2784" t="str">
        <f>"00190153"</f>
        <v>00190153</v>
      </c>
      <c r="B2784" t="s">
        <v>1906</v>
      </c>
      <c r="C2784" t="s">
        <v>316</v>
      </c>
      <c r="D2784" t="s">
        <v>51</v>
      </c>
      <c r="E2784" t="s">
        <v>16</v>
      </c>
      <c r="F2784" t="s">
        <v>17</v>
      </c>
      <c r="G2784" t="str">
        <f>"04"</f>
        <v>04</v>
      </c>
      <c r="H2784" t="str">
        <f>"1  "</f>
        <v xml:space="preserve">1  </v>
      </c>
      <c r="I2784" t="str">
        <f>"2020/07/15"</f>
        <v>2020/07/15</v>
      </c>
      <c r="J2784" t="str">
        <f>"510"</f>
        <v>510</v>
      </c>
      <c r="K2784" t="str">
        <f>"20201205"</f>
        <v>20201205</v>
      </c>
      <c r="L2784" t="s">
        <v>18</v>
      </c>
      <c r="M2784" t="str">
        <f>"20200626"</f>
        <v>20200626</v>
      </c>
    </row>
    <row r="2785" spans="1:13" x14ac:dyDescent="0.25">
      <c r="A2785" t="str">
        <f>"00579129"</f>
        <v>00579129</v>
      </c>
      <c r="B2785" t="s">
        <v>1937</v>
      </c>
      <c r="C2785" t="s">
        <v>244</v>
      </c>
      <c r="D2785" t="s">
        <v>73</v>
      </c>
      <c r="E2785" t="s">
        <v>26</v>
      </c>
      <c r="F2785" t="s">
        <v>17</v>
      </c>
      <c r="G2785" t="str">
        <f>"04"</f>
        <v>04</v>
      </c>
      <c r="H2785" t="str">
        <f>"6  "</f>
        <v xml:space="preserve">6  </v>
      </c>
      <c r="I2785" t="str">
        <f>"2020/09/04"</f>
        <v>2020/09/04</v>
      </c>
      <c r="J2785" t="str">
        <f>"502"</f>
        <v>502</v>
      </c>
      <c r="K2785" t="str">
        <f>"20211212"</f>
        <v>20211212</v>
      </c>
      <c r="L2785" t="s">
        <v>18</v>
      </c>
      <c r="M2785" t="str">
        <f>"20181123"</f>
        <v>20181123</v>
      </c>
    </row>
    <row r="2786" spans="1:13" x14ac:dyDescent="0.25">
      <c r="A2786" t="str">
        <f>"00191500"</f>
        <v>00191500</v>
      </c>
      <c r="B2786" t="s">
        <v>1997</v>
      </c>
      <c r="C2786" t="s">
        <v>578</v>
      </c>
      <c r="D2786" t="s">
        <v>15</v>
      </c>
      <c r="E2786" t="s">
        <v>26</v>
      </c>
      <c r="F2786" t="s">
        <v>17</v>
      </c>
      <c r="G2786" t="str">
        <f>"04"</f>
        <v>04</v>
      </c>
      <c r="H2786" t="str">
        <f>"3  "</f>
        <v xml:space="preserve">3  </v>
      </c>
      <c r="I2786" t="str">
        <f>"2020/09/16"</f>
        <v>2020/09/16</v>
      </c>
      <c r="J2786" t="str">
        <f>"510"</f>
        <v>510</v>
      </c>
      <c r="K2786" t="str">
        <f>"20210306"</f>
        <v>20210306</v>
      </c>
      <c r="L2786" t="s">
        <v>18</v>
      </c>
      <c r="M2786" t="str">
        <f>"20131119"</f>
        <v>20131119</v>
      </c>
    </row>
    <row r="2787" spans="1:13" x14ac:dyDescent="0.25">
      <c r="A2787" t="str">
        <f>"00756348"</f>
        <v>00756348</v>
      </c>
      <c r="B2787" t="s">
        <v>2099</v>
      </c>
      <c r="C2787" t="s">
        <v>150</v>
      </c>
      <c r="D2787" t="s">
        <v>61</v>
      </c>
      <c r="E2787" t="s">
        <v>16</v>
      </c>
      <c r="F2787" t="s">
        <v>17</v>
      </c>
      <c r="G2787" t="str">
        <f>"04"</f>
        <v>04</v>
      </c>
      <c r="H2787" t="str">
        <f>"1  "</f>
        <v xml:space="preserve">1  </v>
      </c>
      <c r="I2787" t="str">
        <f>"2020/08/03"</f>
        <v>2020/08/03</v>
      </c>
      <c r="J2787" t="str">
        <f>"510"</f>
        <v>510</v>
      </c>
      <c r="K2787" t="str">
        <f>"20210614"</f>
        <v>20210614</v>
      </c>
      <c r="L2787" t="s">
        <v>18</v>
      </c>
      <c r="M2787" t="str">
        <f>"20200726"</f>
        <v>20200726</v>
      </c>
    </row>
    <row r="2788" spans="1:13" x14ac:dyDescent="0.25">
      <c r="A2788" t="str">
        <f>"00189232"</f>
        <v>00189232</v>
      </c>
      <c r="B2788" t="s">
        <v>2103</v>
      </c>
      <c r="C2788" t="s">
        <v>288</v>
      </c>
      <c r="D2788" t="s">
        <v>15</v>
      </c>
      <c r="E2788" t="s">
        <v>16</v>
      </c>
      <c r="F2788" t="s">
        <v>17</v>
      </c>
      <c r="G2788" t="str">
        <f>"04"</f>
        <v>04</v>
      </c>
      <c r="H2788" t="str">
        <f>"3  "</f>
        <v xml:space="preserve">3  </v>
      </c>
      <c r="I2788" t="str">
        <f>"2020/09/14"</f>
        <v>2020/09/14</v>
      </c>
      <c r="J2788" t="str">
        <f>"510"</f>
        <v>510</v>
      </c>
      <c r="K2788" t="str">
        <f>"20201018"</f>
        <v>20201018</v>
      </c>
      <c r="L2788" t="s">
        <v>18</v>
      </c>
      <c r="M2788" t="str">
        <f>"20180927"</f>
        <v>20180927</v>
      </c>
    </row>
    <row r="2789" spans="1:13" x14ac:dyDescent="0.25">
      <c r="A2789" t="str">
        <f>"00734815"</f>
        <v>00734815</v>
      </c>
      <c r="B2789" t="s">
        <v>2103</v>
      </c>
      <c r="C2789" t="s">
        <v>1806</v>
      </c>
      <c r="D2789" t="s">
        <v>25</v>
      </c>
      <c r="E2789" t="s">
        <v>26</v>
      </c>
      <c r="F2789" t="s">
        <v>17</v>
      </c>
      <c r="G2789" t="str">
        <f>"04"</f>
        <v>04</v>
      </c>
      <c r="H2789" t="str">
        <f>"1  "</f>
        <v xml:space="preserve">1  </v>
      </c>
      <c r="I2789" t="str">
        <f>"2020/06/03"</f>
        <v>2020/06/03</v>
      </c>
      <c r="J2789" t="str">
        <f>"510"</f>
        <v>510</v>
      </c>
      <c r="K2789" t="str">
        <f>"20201016"</f>
        <v>20201016</v>
      </c>
      <c r="L2789" t="s">
        <v>18</v>
      </c>
      <c r="M2789" t="str">
        <f>"20200524"</f>
        <v>20200524</v>
      </c>
    </row>
    <row r="2790" spans="1:13" x14ac:dyDescent="0.25">
      <c r="A2790" t="str">
        <f>"00492502"</f>
        <v>00492502</v>
      </c>
      <c r="B2790" t="s">
        <v>2167</v>
      </c>
      <c r="C2790" t="s">
        <v>1075</v>
      </c>
      <c r="D2790" t="s">
        <v>40</v>
      </c>
      <c r="E2790" t="s">
        <v>16</v>
      </c>
      <c r="F2790" t="s">
        <v>17</v>
      </c>
      <c r="G2790" t="str">
        <f>"04"</f>
        <v>04</v>
      </c>
      <c r="H2790" t="str">
        <f>"1  "</f>
        <v xml:space="preserve">1  </v>
      </c>
      <c r="I2790" t="str">
        <f>"2020/09/02"</f>
        <v>2020/09/02</v>
      </c>
      <c r="J2790" t="str">
        <f>"510"</f>
        <v>510</v>
      </c>
      <c r="K2790" t="str">
        <f>"20210709"</f>
        <v>20210709</v>
      </c>
      <c r="L2790" t="s">
        <v>18</v>
      </c>
      <c r="M2790" t="str">
        <f>"20200819"</f>
        <v>20200819</v>
      </c>
    </row>
    <row r="2791" spans="1:13" x14ac:dyDescent="0.25">
      <c r="A2791" t="str">
        <f>"00452609"</f>
        <v>00452609</v>
      </c>
      <c r="B2791" t="s">
        <v>2218</v>
      </c>
      <c r="C2791" t="s">
        <v>385</v>
      </c>
      <c r="D2791" t="s">
        <v>61</v>
      </c>
      <c r="E2791" t="s">
        <v>16</v>
      </c>
      <c r="F2791" t="s">
        <v>17</v>
      </c>
      <c r="G2791" t="str">
        <f>"04"</f>
        <v>04</v>
      </c>
      <c r="H2791" t="str">
        <f>"1  "</f>
        <v xml:space="preserve">1  </v>
      </c>
      <c r="I2791" t="str">
        <f>"2020/09/02"</f>
        <v>2020/09/02</v>
      </c>
      <c r="J2791" t="str">
        <f>"510"</f>
        <v>510</v>
      </c>
      <c r="K2791" t="str">
        <f>"20210205"</f>
        <v>20210205</v>
      </c>
      <c r="L2791" t="s">
        <v>18</v>
      </c>
      <c r="M2791" t="str">
        <f>"20200818"</f>
        <v>20200818</v>
      </c>
    </row>
    <row r="2792" spans="1:13" x14ac:dyDescent="0.25">
      <c r="A2792" t="str">
        <f>"00752419"</f>
        <v>00752419</v>
      </c>
      <c r="B2792" t="s">
        <v>2236</v>
      </c>
      <c r="C2792" t="s">
        <v>637</v>
      </c>
      <c r="D2792" t="s">
        <v>25</v>
      </c>
      <c r="E2792" t="s">
        <v>26</v>
      </c>
      <c r="F2792" t="s">
        <v>17</v>
      </c>
      <c r="G2792" t="str">
        <f>"04"</f>
        <v>04</v>
      </c>
      <c r="H2792" t="str">
        <f>"1  "</f>
        <v xml:space="preserve">1  </v>
      </c>
      <c r="I2792" t="str">
        <f>"2020/09/02"</f>
        <v>2020/09/02</v>
      </c>
      <c r="J2792" t="str">
        <f>"510"</f>
        <v>510</v>
      </c>
      <c r="K2792" t="str">
        <f>"20201120"</f>
        <v>20201120</v>
      </c>
      <c r="L2792" t="s">
        <v>18</v>
      </c>
      <c r="M2792" t="str">
        <f>"20200827"</f>
        <v>20200827</v>
      </c>
    </row>
    <row r="2793" spans="1:13" x14ac:dyDescent="0.25">
      <c r="A2793" t="str">
        <f>"00532508"</f>
        <v>00532508</v>
      </c>
      <c r="B2793" t="s">
        <v>2315</v>
      </c>
      <c r="C2793" t="s">
        <v>2320</v>
      </c>
      <c r="D2793" t="s">
        <v>113</v>
      </c>
      <c r="E2793" t="s">
        <v>26</v>
      </c>
      <c r="F2793" t="s">
        <v>17</v>
      </c>
      <c r="G2793" t="str">
        <f>"04"</f>
        <v>04</v>
      </c>
      <c r="H2793" t="str">
        <f>"1  "</f>
        <v xml:space="preserve">1  </v>
      </c>
      <c r="I2793" t="str">
        <f>"2020/09/13"</f>
        <v>2020/09/13</v>
      </c>
      <c r="J2793" t="str">
        <f>"110"</f>
        <v>110</v>
      </c>
      <c r="K2793" t="str">
        <f>"20210222"</f>
        <v>20210222</v>
      </c>
      <c r="L2793" t="s">
        <v>18</v>
      </c>
      <c r="M2793" t="str">
        <f>"20200913"</f>
        <v>20200913</v>
      </c>
    </row>
    <row r="2794" spans="1:13" x14ac:dyDescent="0.25">
      <c r="A2794" t="str">
        <f>"00227662"</f>
        <v>00227662</v>
      </c>
      <c r="B2794" t="s">
        <v>2343</v>
      </c>
      <c r="C2794" t="s">
        <v>124</v>
      </c>
      <c r="D2794" t="s">
        <v>21</v>
      </c>
      <c r="E2794" t="s">
        <v>26</v>
      </c>
      <c r="F2794" t="s">
        <v>17</v>
      </c>
      <c r="G2794" t="str">
        <f>"04"</f>
        <v>04</v>
      </c>
      <c r="H2794" t="str">
        <f>"3  "</f>
        <v xml:space="preserve">3  </v>
      </c>
      <c r="I2794" t="str">
        <f>"2020/03/11"</f>
        <v>2020/03/11</v>
      </c>
      <c r="J2794" t="str">
        <f>"510"</f>
        <v>510</v>
      </c>
      <c r="K2794" t="str">
        <f>"20210612"</f>
        <v>20210612</v>
      </c>
      <c r="L2794" t="s">
        <v>18</v>
      </c>
      <c r="M2794" t="str">
        <f>"20200305"</f>
        <v>20200305</v>
      </c>
    </row>
    <row r="2795" spans="1:13" x14ac:dyDescent="0.25">
      <c r="A2795" t="str">
        <f>"00463601"</f>
        <v>00463601</v>
      </c>
      <c r="B2795" t="s">
        <v>2424</v>
      </c>
      <c r="C2795" t="s">
        <v>249</v>
      </c>
      <c r="D2795" t="s">
        <v>61</v>
      </c>
      <c r="E2795" t="s">
        <v>16</v>
      </c>
      <c r="F2795" t="s">
        <v>17</v>
      </c>
      <c r="G2795" t="str">
        <f>"04"</f>
        <v>04</v>
      </c>
      <c r="H2795" t="str">
        <f>"3  "</f>
        <v xml:space="preserve">3  </v>
      </c>
      <c r="I2795" t="str">
        <f>"2020/07/01"</f>
        <v>2020/07/01</v>
      </c>
      <c r="J2795" t="str">
        <f>"510"</f>
        <v>510</v>
      </c>
      <c r="K2795" t="str">
        <f>"20201105"</f>
        <v>20201105</v>
      </c>
      <c r="L2795" t="s">
        <v>18</v>
      </c>
      <c r="M2795" t="str">
        <f>"20160830"</f>
        <v>20160830</v>
      </c>
    </row>
    <row r="2796" spans="1:13" x14ac:dyDescent="0.25">
      <c r="A2796" t="str">
        <f>"00171765"</f>
        <v>00171765</v>
      </c>
      <c r="B2796" t="s">
        <v>2449</v>
      </c>
      <c r="C2796" t="s">
        <v>1594</v>
      </c>
      <c r="D2796" t="s">
        <v>16</v>
      </c>
      <c r="E2796" t="s">
        <v>16</v>
      </c>
      <c r="F2796" t="s">
        <v>17</v>
      </c>
      <c r="G2796" t="str">
        <f>"04"</f>
        <v>04</v>
      </c>
      <c r="H2796" t="str">
        <f>"3  "</f>
        <v xml:space="preserve">3  </v>
      </c>
      <c r="I2796" t="str">
        <f>"2020/04/03"</f>
        <v>2020/04/03</v>
      </c>
      <c r="J2796" t="str">
        <f>"502"</f>
        <v>502</v>
      </c>
      <c r="K2796" t="str">
        <f>"20211024"</f>
        <v>20211024</v>
      </c>
      <c r="L2796" t="s">
        <v>18</v>
      </c>
      <c r="M2796" t="str">
        <f>"20160923"</f>
        <v>20160923</v>
      </c>
    </row>
    <row r="2797" spans="1:13" x14ac:dyDescent="0.25">
      <c r="A2797" t="str">
        <f>"00466809"</f>
        <v>00466809</v>
      </c>
      <c r="B2797" t="s">
        <v>2524</v>
      </c>
      <c r="C2797" t="s">
        <v>267</v>
      </c>
      <c r="D2797" t="s">
        <v>25</v>
      </c>
      <c r="E2797" t="s">
        <v>26</v>
      </c>
      <c r="F2797" t="s">
        <v>17</v>
      </c>
      <c r="G2797" t="str">
        <f>"04"</f>
        <v>04</v>
      </c>
      <c r="H2797" t="str">
        <f>"1  "</f>
        <v xml:space="preserve">1  </v>
      </c>
      <c r="I2797" t="str">
        <f>"2020/08/02"</f>
        <v>2020/08/02</v>
      </c>
      <c r="J2797" t="str">
        <f>"110"</f>
        <v>110</v>
      </c>
      <c r="K2797" t="str">
        <f>"20210109"</f>
        <v>20210109</v>
      </c>
      <c r="L2797" t="s">
        <v>18</v>
      </c>
      <c r="M2797" t="str">
        <f>"20200802"</f>
        <v>20200802</v>
      </c>
    </row>
    <row r="2798" spans="1:13" x14ac:dyDescent="0.25">
      <c r="A2798" t="str">
        <f>"00803249"</f>
        <v>00803249</v>
      </c>
      <c r="B2798" t="s">
        <v>2530</v>
      </c>
      <c r="C2798" t="s">
        <v>2531</v>
      </c>
      <c r="D2798" t="s">
        <v>25</v>
      </c>
      <c r="E2798" t="s">
        <v>26</v>
      </c>
      <c r="F2798" t="s">
        <v>17</v>
      </c>
      <c r="G2798" t="str">
        <f>"04"</f>
        <v>04</v>
      </c>
      <c r="H2798" t="str">
        <f>"1  "</f>
        <v xml:space="preserve">1  </v>
      </c>
      <c r="I2798" t="str">
        <f>"2020/08/04"</f>
        <v>2020/08/04</v>
      </c>
      <c r="J2798" t="str">
        <f>"510"</f>
        <v>510</v>
      </c>
      <c r="K2798" t="str">
        <f>"20201226"</f>
        <v>20201226</v>
      </c>
      <c r="L2798" t="s">
        <v>18</v>
      </c>
      <c r="M2798" t="str">
        <f>"20200719"</f>
        <v>20200719</v>
      </c>
    </row>
    <row r="2799" spans="1:13" x14ac:dyDescent="0.25">
      <c r="A2799" t="str">
        <f>"00538180"</f>
        <v>00538180</v>
      </c>
      <c r="B2799" t="s">
        <v>2570</v>
      </c>
      <c r="C2799" t="s">
        <v>308</v>
      </c>
      <c r="D2799" t="s">
        <v>456</v>
      </c>
      <c r="E2799" t="s">
        <v>16</v>
      </c>
      <c r="F2799" t="s">
        <v>17</v>
      </c>
      <c r="G2799" t="str">
        <f>"04"</f>
        <v>04</v>
      </c>
      <c r="H2799" t="str">
        <f>"1  "</f>
        <v xml:space="preserve">1  </v>
      </c>
      <c r="I2799" t="str">
        <f>"2020/08/20"</f>
        <v>2020/08/20</v>
      </c>
      <c r="J2799" t="str">
        <f>"512"</f>
        <v>512</v>
      </c>
      <c r="K2799" t="str">
        <f>"20201220"</f>
        <v>20201220</v>
      </c>
      <c r="L2799" t="s">
        <v>18</v>
      </c>
      <c r="M2799" t="str">
        <f>"20200714"</f>
        <v>20200714</v>
      </c>
    </row>
    <row r="2800" spans="1:13" x14ac:dyDescent="0.25">
      <c r="A2800" t="str">
        <f>"00160902"</f>
        <v>00160902</v>
      </c>
      <c r="B2800" t="s">
        <v>2583</v>
      </c>
      <c r="C2800" t="s">
        <v>74</v>
      </c>
      <c r="D2800" t="s">
        <v>61</v>
      </c>
      <c r="E2800" t="s">
        <v>16</v>
      </c>
      <c r="F2800" t="s">
        <v>17</v>
      </c>
      <c r="G2800" t="str">
        <f>"04"</f>
        <v>04</v>
      </c>
      <c r="H2800" t="str">
        <f>"1  "</f>
        <v xml:space="preserve">1  </v>
      </c>
      <c r="I2800" t="str">
        <f>"2020/09/02"</f>
        <v>2020/09/02</v>
      </c>
      <c r="J2800" t="str">
        <f>"502"</f>
        <v>502</v>
      </c>
      <c r="K2800" t="str">
        <f>"20210208"</f>
        <v>20210208</v>
      </c>
      <c r="L2800" t="s">
        <v>18</v>
      </c>
      <c r="M2800" t="str">
        <f>"20200827"</f>
        <v>20200827</v>
      </c>
    </row>
    <row r="2801" spans="1:13" x14ac:dyDescent="0.25">
      <c r="A2801" t="str">
        <f>"00474952"</f>
        <v>00474952</v>
      </c>
      <c r="B2801" t="s">
        <v>2674</v>
      </c>
      <c r="C2801" t="s">
        <v>140</v>
      </c>
      <c r="D2801" t="s">
        <v>61</v>
      </c>
      <c r="E2801" t="s">
        <v>26</v>
      </c>
      <c r="F2801" t="s">
        <v>17</v>
      </c>
      <c r="G2801" t="str">
        <f>"04"</f>
        <v>04</v>
      </c>
      <c r="H2801" t="str">
        <f>"1  "</f>
        <v xml:space="preserve">1  </v>
      </c>
      <c r="I2801" t="str">
        <f>"2020/08/11"</f>
        <v>2020/08/11</v>
      </c>
      <c r="J2801" t="str">
        <f>"110"</f>
        <v>110</v>
      </c>
      <c r="K2801" t="str">
        <f>"20210113"</f>
        <v>20210113</v>
      </c>
      <c r="L2801" t="s">
        <v>18</v>
      </c>
      <c r="M2801" t="str">
        <f>"20200811"</f>
        <v>20200811</v>
      </c>
    </row>
    <row r="2802" spans="1:13" x14ac:dyDescent="0.25">
      <c r="A2802" t="str">
        <f>"00891482"</f>
        <v>00891482</v>
      </c>
      <c r="B2802" t="s">
        <v>2690</v>
      </c>
      <c r="C2802" t="s">
        <v>2691</v>
      </c>
      <c r="D2802" t="s">
        <v>40</v>
      </c>
      <c r="E2802" t="s">
        <v>16</v>
      </c>
      <c r="F2802" t="s">
        <v>17</v>
      </c>
      <c r="G2802" t="str">
        <f>"04"</f>
        <v>04</v>
      </c>
      <c r="H2802" t="str">
        <f>"1  "</f>
        <v xml:space="preserve">1  </v>
      </c>
      <c r="I2802" t="str">
        <f>"2020/05/20"</f>
        <v>2020/05/20</v>
      </c>
      <c r="J2802" t="str">
        <f>"502"</f>
        <v>502</v>
      </c>
      <c r="K2802" t="str">
        <f>"20201006"</f>
        <v>20201006</v>
      </c>
      <c r="L2802" t="s">
        <v>18</v>
      </c>
      <c r="M2802" t="str">
        <f>"20200512"</f>
        <v>20200512</v>
      </c>
    </row>
    <row r="2803" spans="1:13" x14ac:dyDescent="0.25">
      <c r="A2803" t="str">
        <f>"00371240"</f>
        <v>00371240</v>
      </c>
      <c r="B2803" t="s">
        <v>2758</v>
      </c>
      <c r="C2803" t="s">
        <v>1209</v>
      </c>
      <c r="D2803" t="s">
        <v>51</v>
      </c>
      <c r="E2803" t="s">
        <v>16</v>
      </c>
      <c r="F2803" t="s">
        <v>17</v>
      </c>
      <c r="G2803" t="str">
        <f>"04"</f>
        <v>04</v>
      </c>
      <c r="H2803" t="str">
        <f>"1  "</f>
        <v xml:space="preserve">1  </v>
      </c>
      <c r="I2803" t="str">
        <f>"2020/07/15"</f>
        <v>2020/07/15</v>
      </c>
      <c r="J2803" t="str">
        <f>"502"</f>
        <v>502</v>
      </c>
      <c r="K2803" t="str">
        <f>"20201124"</f>
        <v>20201124</v>
      </c>
      <c r="L2803" t="s">
        <v>18</v>
      </c>
      <c r="M2803" t="str">
        <f>"20200623"</f>
        <v>20200623</v>
      </c>
    </row>
    <row r="2804" spans="1:13" x14ac:dyDescent="0.25">
      <c r="A2804" t="str">
        <f>"00768096"</f>
        <v>00768096</v>
      </c>
      <c r="B2804" t="s">
        <v>2905</v>
      </c>
      <c r="C2804" t="s">
        <v>348</v>
      </c>
      <c r="D2804" t="s">
        <v>21</v>
      </c>
      <c r="E2804" t="s">
        <v>26</v>
      </c>
      <c r="F2804" t="s">
        <v>17</v>
      </c>
      <c r="G2804" t="str">
        <f>"04"</f>
        <v>04</v>
      </c>
      <c r="H2804" t="str">
        <f>"3  "</f>
        <v xml:space="preserve">3  </v>
      </c>
      <c r="I2804" t="str">
        <f>"2020/08/19"</f>
        <v>2020/08/19</v>
      </c>
      <c r="J2804" t="str">
        <f>"510"</f>
        <v>510</v>
      </c>
      <c r="K2804" t="str">
        <f>"20201020"</f>
        <v>20201020</v>
      </c>
      <c r="L2804" t="s">
        <v>18</v>
      </c>
      <c r="M2804" t="str">
        <f>"20190307"</f>
        <v>20190307</v>
      </c>
    </row>
    <row r="2805" spans="1:13" x14ac:dyDescent="0.25">
      <c r="A2805" t="str">
        <f>"00683386"</f>
        <v>00683386</v>
      </c>
      <c r="B2805" t="s">
        <v>2912</v>
      </c>
      <c r="C2805" t="s">
        <v>613</v>
      </c>
      <c r="D2805" t="s">
        <v>61</v>
      </c>
      <c r="E2805" t="s">
        <v>26</v>
      </c>
      <c r="F2805" t="s">
        <v>17</v>
      </c>
      <c r="G2805" t="str">
        <f>"04"</f>
        <v>04</v>
      </c>
      <c r="H2805" t="str">
        <f>"1  "</f>
        <v xml:space="preserve">1  </v>
      </c>
      <c r="I2805" t="str">
        <f>"2020/08/19"</f>
        <v>2020/08/19</v>
      </c>
      <c r="J2805" t="str">
        <f>"510"</f>
        <v>510</v>
      </c>
      <c r="K2805" t="str">
        <f>"20210118"</f>
        <v>20210118</v>
      </c>
      <c r="L2805" t="s">
        <v>18</v>
      </c>
      <c r="M2805" t="str">
        <f>"20200801"</f>
        <v>20200801</v>
      </c>
    </row>
    <row r="2806" spans="1:13" x14ac:dyDescent="0.25">
      <c r="A2806" t="str">
        <f>"00346428"</f>
        <v>00346428</v>
      </c>
      <c r="B2806" t="s">
        <v>2917</v>
      </c>
      <c r="C2806" t="s">
        <v>302</v>
      </c>
      <c r="D2806" t="s">
        <v>25</v>
      </c>
      <c r="E2806" t="s">
        <v>26</v>
      </c>
      <c r="F2806" t="s">
        <v>17</v>
      </c>
      <c r="G2806" t="str">
        <f>"04"</f>
        <v>04</v>
      </c>
      <c r="H2806" t="str">
        <f>"3  "</f>
        <v xml:space="preserve">3  </v>
      </c>
      <c r="I2806" t="str">
        <f>"2020/08/03"</f>
        <v>2020/08/03</v>
      </c>
      <c r="J2806" t="str">
        <f>"510"</f>
        <v>510</v>
      </c>
      <c r="K2806" t="str">
        <f>"20201206"</f>
        <v>20201206</v>
      </c>
      <c r="L2806" t="s">
        <v>18</v>
      </c>
      <c r="M2806" t="str">
        <f>"20161202"</f>
        <v>20161202</v>
      </c>
    </row>
    <row r="2807" spans="1:13" x14ac:dyDescent="0.25">
      <c r="A2807" t="str">
        <f>"00191631"</f>
        <v>00191631</v>
      </c>
      <c r="B2807" t="s">
        <v>2971</v>
      </c>
      <c r="C2807" t="s">
        <v>422</v>
      </c>
      <c r="D2807" t="s">
        <v>61</v>
      </c>
      <c r="E2807" t="s">
        <v>16</v>
      </c>
      <c r="F2807" t="s">
        <v>17</v>
      </c>
      <c r="G2807" t="str">
        <f>"04"</f>
        <v>04</v>
      </c>
      <c r="H2807" t="str">
        <f>"1  "</f>
        <v xml:space="preserve">1  </v>
      </c>
      <c r="I2807" t="str">
        <f>"2020/07/15"</f>
        <v>2020/07/15</v>
      </c>
      <c r="J2807" t="str">
        <f>"502"</f>
        <v>502</v>
      </c>
      <c r="K2807" t="str">
        <f>"20210520"</f>
        <v>20210520</v>
      </c>
      <c r="L2807" t="s">
        <v>18</v>
      </c>
      <c r="M2807" t="str">
        <f>"20200706"</f>
        <v>20200706</v>
      </c>
    </row>
    <row r="2808" spans="1:13" x14ac:dyDescent="0.25">
      <c r="A2808" t="str">
        <f>"00258703"</f>
        <v>00258703</v>
      </c>
      <c r="B2808" t="s">
        <v>3015</v>
      </c>
      <c r="C2808" t="s">
        <v>117</v>
      </c>
      <c r="D2808" t="s">
        <v>51</v>
      </c>
      <c r="E2808" t="s">
        <v>26</v>
      </c>
      <c r="F2808" t="s">
        <v>17</v>
      </c>
      <c r="G2808" t="str">
        <f>"04"</f>
        <v>04</v>
      </c>
      <c r="H2808" t="str">
        <f>"3  "</f>
        <v xml:space="preserve">3  </v>
      </c>
      <c r="I2808" t="str">
        <f>"2019/11/04"</f>
        <v>2019/11/04</v>
      </c>
      <c r="J2808" t="str">
        <f>"510"</f>
        <v>510</v>
      </c>
      <c r="K2808" t="str">
        <f>"20210113"</f>
        <v>20210113</v>
      </c>
      <c r="L2808" t="s">
        <v>18</v>
      </c>
      <c r="M2808" t="str">
        <f>"20160206"</f>
        <v>20160206</v>
      </c>
    </row>
    <row r="2809" spans="1:13" x14ac:dyDescent="0.25">
      <c r="A2809" t="str">
        <f>"00168909"</f>
        <v>00168909</v>
      </c>
      <c r="B2809" t="s">
        <v>3061</v>
      </c>
      <c r="C2809" t="s">
        <v>122</v>
      </c>
      <c r="D2809" t="s">
        <v>456</v>
      </c>
      <c r="E2809" t="s">
        <v>16</v>
      </c>
      <c r="F2809" t="s">
        <v>17</v>
      </c>
      <c r="G2809" t="str">
        <f>"04"</f>
        <v>04</v>
      </c>
      <c r="H2809" t="str">
        <f>"1  "</f>
        <v xml:space="preserve">1  </v>
      </c>
      <c r="I2809" t="str">
        <f>"2020/09/16"</f>
        <v>2020/09/16</v>
      </c>
      <c r="J2809" t="str">
        <f>"120"</f>
        <v>120</v>
      </c>
      <c r="K2809" t="str">
        <f>"20210211"</f>
        <v>20210211</v>
      </c>
      <c r="L2809" t="s">
        <v>18</v>
      </c>
      <c r="M2809" t="str">
        <f>"20200824"</f>
        <v>20200824</v>
      </c>
    </row>
    <row r="2810" spans="1:13" x14ac:dyDescent="0.25">
      <c r="A2810" t="str">
        <f>"00497438"</f>
        <v>00497438</v>
      </c>
      <c r="B2810" t="s">
        <v>3065</v>
      </c>
      <c r="C2810" t="s">
        <v>3066</v>
      </c>
      <c r="D2810" t="s">
        <v>61</v>
      </c>
      <c r="E2810" t="s">
        <v>26</v>
      </c>
      <c r="F2810" t="s">
        <v>17</v>
      </c>
      <c r="G2810" t="str">
        <f>"04"</f>
        <v>04</v>
      </c>
      <c r="H2810" t="str">
        <f>"1  "</f>
        <v xml:space="preserve">1  </v>
      </c>
      <c r="I2810" t="str">
        <f>"2020/08/22"</f>
        <v>2020/08/22</v>
      </c>
      <c r="J2810" t="str">
        <f>"110"</f>
        <v>110</v>
      </c>
      <c r="K2810" t="str">
        <f>"20210621"</f>
        <v>20210621</v>
      </c>
      <c r="L2810" t="s">
        <v>18</v>
      </c>
      <c r="M2810" t="str">
        <f>"20200822"</f>
        <v>20200822</v>
      </c>
    </row>
    <row r="2811" spans="1:13" x14ac:dyDescent="0.25">
      <c r="A2811" t="str">
        <f>"00351087"</f>
        <v>00351087</v>
      </c>
      <c r="B2811" t="s">
        <v>3074</v>
      </c>
      <c r="C2811" t="s">
        <v>104</v>
      </c>
      <c r="D2811" t="s">
        <v>15</v>
      </c>
      <c r="E2811" t="s">
        <v>16</v>
      </c>
      <c r="F2811" t="s">
        <v>17</v>
      </c>
      <c r="G2811" t="str">
        <f>"04"</f>
        <v>04</v>
      </c>
      <c r="H2811" t="str">
        <f>"1  "</f>
        <v xml:space="preserve">1  </v>
      </c>
      <c r="I2811" t="str">
        <f>"2020/09/19"</f>
        <v>2020/09/19</v>
      </c>
      <c r="J2811" t="str">
        <f>"110"</f>
        <v>110</v>
      </c>
      <c r="K2811" t="str">
        <f>"20210918"</f>
        <v>20210918</v>
      </c>
      <c r="L2811" t="s">
        <v>18</v>
      </c>
      <c r="M2811" t="str">
        <f>"20200919"</f>
        <v>20200919</v>
      </c>
    </row>
    <row r="2812" spans="1:13" x14ac:dyDescent="0.25">
      <c r="A2812" t="str">
        <f>"00559505"</f>
        <v>00559505</v>
      </c>
      <c r="B2812" t="s">
        <v>3191</v>
      </c>
      <c r="C2812" t="s">
        <v>446</v>
      </c>
      <c r="D2812" t="s">
        <v>51</v>
      </c>
      <c r="E2812" t="s">
        <v>26</v>
      </c>
      <c r="F2812" t="s">
        <v>17</v>
      </c>
      <c r="G2812" t="str">
        <f>"04"</f>
        <v>04</v>
      </c>
      <c r="H2812" t="str">
        <f>"3  "</f>
        <v xml:space="preserve">3  </v>
      </c>
      <c r="I2812" t="str">
        <f>"2020/07/01"</f>
        <v>2020/07/01</v>
      </c>
      <c r="J2812" t="str">
        <f>"510"</f>
        <v>510</v>
      </c>
      <c r="K2812" t="str">
        <f>"20201021"</f>
        <v>20201021</v>
      </c>
      <c r="L2812" t="s">
        <v>18</v>
      </c>
      <c r="M2812" t="str">
        <f>"20140412"</f>
        <v>20140412</v>
      </c>
    </row>
    <row r="2813" spans="1:13" x14ac:dyDescent="0.25">
      <c r="A2813" t="str">
        <f>"00558030"</f>
        <v>00558030</v>
      </c>
      <c r="B2813" t="s">
        <v>3345</v>
      </c>
      <c r="C2813" t="s">
        <v>3346</v>
      </c>
      <c r="D2813" t="s">
        <v>25</v>
      </c>
      <c r="E2813" t="s">
        <v>26</v>
      </c>
      <c r="F2813" t="s">
        <v>17</v>
      </c>
      <c r="G2813" t="str">
        <f>"04"</f>
        <v>04</v>
      </c>
      <c r="H2813" t="str">
        <f>"3  "</f>
        <v xml:space="preserve">3  </v>
      </c>
      <c r="I2813" t="str">
        <f>"2020/09/02"</f>
        <v>2020/09/02</v>
      </c>
      <c r="J2813" t="str">
        <f>"510"</f>
        <v>510</v>
      </c>
      <c r="K2813" t="str">
        <f>"20210217"</f>
        <v>20210217</v>
      </c>
      <c r="L2813" t="s">
        <v>18</v>
      </c>
      <c r="M2813" t="str">
        <f>"20130919"</f>
        <v>20130919</v>
      </c>
    </row>
    <row r="2814" spans="1:13" x14ac:dyDescent="0.25">
      <c r="A2814" t="str">
        <f>"00592000"</f>
        <v>00592000</v>
      </c>
      <c r="B2814" t="s">
        <v>3386</v>
      </c>
      <c r="C2814" t="s">
        <v>3388</v>
      </c>
      <c r="D2814" t="s">
        <v>15</v>
      </c>
      <c r="E2814" t="s">
        <v>26</v>
      </c>
      <c r="F2814" t="s">
        <v>17</v>
      </c>
      <c r="G2814" t="str">
        <f>"04"</f>
        <v>04</v>
      </c>
      <c r="H2814" t="str">
        <f>"1  "</f>
        <v xml:space="preserve">1  </v>
      </c>
      <c r="I2814" t="str">
        <f>"2020/08/20"</f>
        <v>2020/08/20</v>
      </c>
      <c r="J2814" t="str">
        <f>"512"</f>
        <v>512</v>
      </c>
      <c r="K2814" t="str">
        <f>"20201107"</f>
        <v>20201107</v>
      </c>
      <c r="L2814" t="s">
        <v>18</v>
      </c>
      <c r="M2814" t="str">
        <f>"20200602"</f>
        <v>20200602</v>
      </c>
    </row>
    <row r="2815" spans="1:13" x14ac:dyDescent="0.25">
      <c r="A2815" t="str">
        <f>"00747036"</f>
        <v>00747036</v>
      </c>
      <c r="B2815" t="s">
        <v>3404</v>
      </c>
      <c r="C2815" t="s">
        <v>308</v>
      </c>
      <c r="D2815" t="s">
        <v>80</v>
      </c>
      <c r="E2815" t="s">
        <v>26</v>
      </c>
      <c r="F2815" t="s">
        <v>17</v>
      </c>
      <c r="G2815" t="str">
        <f>"04"</f>
        <v>04</v>
      </c>
      <c r="H2815" t="str">
        <f>"1  "</f>
        <v xml:space="preserve">1  </v>
      </c>
      <c r="I2815" t="str">
        <f>"2020/09/02"</f>
        <v>2020/09/02</v>
      </c>
      <c r="J2815" t="str">
        <f>"510"</f>
        <v>510</v>
      </c>
      <c r="K2815" t="str">
        <f>"20210211"</f>
        <v>20210211</v>
      </c>
      <c r="L2815" t="s">
        <v>18</v>
      </c>
      <c r="M2815" t="str">
        <f>"20200824"</f>
        <v>20200824</v>
      </c>
    </row>
    <row r="2816" spans="1:13" x14ac:dyDescent="0.25">
      <c r="A2816" t="str">
        <f>"00456039"</f>
        <v>00456039</v>
      </c>
      <c r="B2816" t="s">
        <v>3450</v>
      </c>
      <c r="C2816" t="s">
        <v>302</v>
      </c>
      <c r="D2816" t="s">
        <v>25</v>
      </c>
      <c r="E2816" t="s">
        <v>26</v>
      </c>
      <c r="F2816" t="s">
        <v>17</v>
      </c>
      <c r="G2816" t="str">
        <f>"04"</f>
        <v>04</v>
      </c>
      <c r="H2816" t="str">
        <f>"1  "</f>
        <v xml:space="preserve">1  </v>
      </c>
      <c r="I2816" t="str">
        <f>"2020/07/30"</f>
        <v>2020/07/30</v>
      </c>
      <c r="J2816" t="str">
        <f>"510"</f>
        <v>510</v>
      </c>
      <c r="K2816" t="str">
        <f>"20210530"</f>
        <v>20210530</v>
      </c>
      <c r="L2816" t="s">
        <v>18</v>
      </c>
      <c r="M2816" t="str">
        <f>"20200715"</f>
        <v>20200715</v>
      </c>
    </row>
    <row r="2817" spans="1:13" x14ac:dyDescent="0.25">
      <c r="A2817" t="str">
        <f>"00232514"</f>
        <v>00232514</v>
      </c>
      <c r="B2817" t="s">
        <v>3450</v>
      </c>
      <c r="C2817" t="s">
        <v>327</v>
      </c>
      <c r="D2817" t="s">
        <v>456</v>
      </c>
      <c r="E2817" t="s">
        <v>26</v>
      </c>
      <c r="F2817" t="s">
        <v>17</v>
      </c>
      <c r="G2817" t="str">
        <f>"04"</f>
        <v>04</v>
      </c>
      <c r="H2817" t="str">
        <f>"1  "</f>
        <v xml:space="preserve">1  </v>
      </c>
      <c r="I2817" t="str">
        <f>"2020/09/02"</f>
        <v>2020/09/02</v>
      </c>
      <c r="J2817" t="str">
        <f>"510"</f>
        <v>510</v>
      </c>
      <c r="K2817" t="str">
        <f>"20210204"</f>
        <v>20210204</v>
      </c>
      <c r="L2817" t="s">
        <v>18</v>
      </c>
      <c r="M2817" t="str">
        <f>"20200823"</f>
        <v>20200823</v>
      </c>
    </row>
    <row r="2818" spans="1:13" x14ac:dyDescent="0.25">
      <c r="A2818" t="str">
        <f>"00527208"</f>
        <v>00527208</v>
      </c>
      <c r="B2818" t="s">
        <v>3472</v>
      </c>
      <c r="C2818" t="s">
        <v>261</v>
      </c>
      <c r="D2818" t="s">
        <v>31</v>
      </c>
      <c r="E2818" t="s">
        <v>26</v>
      </c>
      <c r="F2818" t="s">
        <v>17</v>
      </c>
      <c r="G2818" t="str">
        <f>"04"</f>
        <v>04</v>
      </c>
      <c r="H2818" t="str">
        <f>"1  "</f>
        <v xml:space="preserve">1  </v>
      </c>
      <c r="I2818" t="str">
        <f>"2020/08/19"</f>
        <v>2020/08/19</v>
      </c>
      <c r="J2818" t="str">
        <f>"502"</f>
        <v>502</v>
      </c>
      <c r="K2818" t="str">
        <f>"20210124"</f>
        <v>20210124</v>
      </c>
      <c r="L2818" t="s">
        <v>18</v>
      </c>
      <c r="M2818" t="str">
        <f>"20200813"</f>
        <v>20200813</v>
      </c>
    </row>
    <row r="2819" spans="1:13" x14ac:dyDescent="0.25">
      <c r="A2819" t="str">
        <f>"00583184"</f>
        <v>00583184</v>
      </c>
      <c r="B2819" t="s">
        <v>3502</v>
      </c>
      <c r="C2819" t="s">
        <v>942</v>
      </c>
      <c r="D2819" t="s">
        <v>53</v>
      </c>
      <c r="E2819" t="s">
        <v>26</v>
      </c>
      <c r="F2819" t="s">
        <v>17</v>
      </c>
      <c r="G2819" t="str">
        <f>"04"</f>
        <v>04</v>
      </c>
      <c r="H2819" t="str">
        <f>"3  "</f>
        <v xml:space="preserve">3  </v>
      </c>
      <c r="I2819" t="str">
        <f>"2020/08/03"</f>
        <v>2020/08/03</v>
      </c>
      <c r="J2819" t="str">
        <f>"510"</f>
        <v>510</v>
      </c>
      <c r="K2819" t="str">
        <f>"20201104"</f>
        <v>20201104</v>
      </c>
      <c r="L2819" t="s">
        <v>18</v>
      </c>
      <c r="M2819" t="str">
        <f>"20151119"</f>
        <v>20151119</v>
      </c>
    </row>
    <row r="2820" spans="1:13" x14ac:dyDescent="0.25">
      <c r="A2820" t="str">
        <f>"00527405"</f>
        <v>00527405</v>
      </c>
      <c r="B2820" t="s">
        <v>3635</v>
      </c>
      <c r="C2820" t="s">
        <v>3638</v>
      </c>
      <c r="D2820" t="s">
        <v>21</v>
      </c>
      <c r="E2820" t="s">
        <v>26</v>
      </c>
      <c r="F2820" t="s">
        <v>17</v>
      </c>
      <c r="G2820" t="str">
        <f>"04"</f>
        <v>04</v>
      </c>
      <c r="H2820" t="str">
        <f>"1  "</f>
        <v xml:space="preserve">1  </v>
      </c>
      <c r="I2820" t="str">
        <f>"2020/06/21"</f>
        <v>2020/06/21</v>
      </c>
      <c r="J2820" t="str">
        <f>"110"</f>
        <v>110</v>
      </c>
      <c r="K2820" t="str">
        <f>"20201118"</f>
        <v>20201118</v>
      </c>
      <c r="L2820" t="s">
        <v>18</v>
      </c>
      <c r="M2820" t="str">
        <f>"20200621"</f>
        <v>20200621</v>
      </c>
    </row>
    <row r="2821" spans="1:13" x14ac:dyDescent="0.25">
      <c r="A2821" t="str">
        <f>"00451132"</f>
        <v>00451132</v>
      </c>
      <c r="B2821" t="s">
        <v>3647</v>
      </c>
      <c r="C2821" t="s">
        <v>1207</v>
      </c>
      <c r="D2821" t="s">
        <v>97</v>
      </c>
      <c r="E2821" t="s">
        <v>26</v>
      </c>
      <c r="F2821" t="s">
        <v>17</v>
      </c>
      <c r="G2821" t="str">
        <f>"04"</f>
        <v>04</v>
      </c>
      <c r="H2821" t="str">
        <f>"1  "</f>
        <v xml:space="preserve">1  </v>
      </c>
      <c r="I2821" t="str">
        <f>"2020/08/20"</f>
        <v>2020/08/20</v>
      </c>
      <c r="J2821" t="str">
        <f>"512"</f>
        <v>512</v>
      </c>
      <c r="K2821" t="str">
        <f>"20210530"</f>
        <v>20210530</v>
      </c>
      <c r="L2821" t="s">
        <v>18</v>
      </c>
      <c r="M2821" t="str">
        <f>"20200712"</f>
        <v>20200712</v>
      </c>
    </row>
    <row r="2822" spans="1:13" x14ac:dyDescent="0.25">
      <c r="A2822" t="str">
        <f>"00755633"</f>
        <v>00755633</v>
      </c>
      <c r="B2822" t="s">
        <v>3650</v>
      </c>
      <c r="C2822" t="s">
        <v>1189</v>
      </c>
      <c r="D2822" t="s">
        <v>16</v>
      </c>
      <c r="E2822" t="s">
        <v>16</v>
      </c>
      <c r="F2822" t="s">
        <v>17</v>
      </c>
      <c r="G2822" t="str">
        <f>"04"</f>
        <v>04</v>
      </c>
      <c r="H2822" t="str">
        <f>"1  "</f>
        <v xml:space="preserve">1  </v>
      </c>
      <c r="I2822" t="str">
        <f>"2020/04/22"</f>
        <v>2020/04/22</v>
      </c>
      <c r="J2822" t="str">
        <f>"502"</f>
        <v>502</v>
      </c>
      <c r="K2822" t="str">
        <f>"20201130"</f>
        <v>20201130</v>
      </c>
      <c r="L2822" t="s">
        <v>18</v>
      </c>
      <c r="M2822" t="str">
        <f>"20200419"</f>
        <v>20200419</v>
      </c>
    </row>
    <row r="2823" spans="1:13" x14ac:dyDescent="0.25">
      <c r="A2823" t="str">
        <f>"00316166"</f>
        <v>00316166</v>
      </c>
      <c r="B2823" t="s">
        <v>3725</v>
      </c>
      <c r="C2823" t="s">
        <v>442</v>
      </c>
      <c r="D2823" t="s">
        <v>21</v>
      </c>
      <c r="E2823" t="s">
        <v>26</v>
      </c>
      <c r="F2823" t="s">
        <v>17</v>
      </c>
      <c r="G2823" t="str">
        <f>"04"</f>
        <v>04</v>
      </c>
      <c r="H2823" t="str">
        <f>"3  "</f>
        <v xml:space="preserve">3  </v>
      </c>
      <c r="I2823" t="str">
        <f>"2020/08/04"</f>
        <v>2020/08/04</v>
      </c>
      <c r="J2823" t="str">
        <f>"502"</f>
        <v>502</v>
      </c>
      <c r="K2823" t="str">
        <f>"20201110"</f>
        <v>20201110</v>
      </c>
      <c r="L2823" t="s">
        <v>18</v>
      </c>
      <c r="M2823" t="str">
        <f>"20121230"</f>
        <v>20121230</v>
      </c>
    </row>
    <row r="2824" spans="1:13" x14ac:dyDescent="0.25">
      <c r="A2824" t="str">
        <f>"00250427"</f>
        <v>00250427</v>
      </c>
      <c r="B2824" t="s">
        <v>3741</v>
      </c>
      <c r="C2824" t="s">
        <v>3742</v>
      </c>
      <c r="D2824" t="s">
        <v>97</v>
      </c>
      <c r="E2824" t="s">
        <v>26</v>
      </c>
      <c r="F2824" t="s">
        <v>17</v>
      </c>
      <c r="G2824" t="str">
        <f>"04"</f>
        <v>04</v>
      </c>
      <c r="H2824" t="str">
        <f>"1  "</f>
        <v xml:space="preserve">1  </v>
      </c>
      <c r="I2824" t="str">
        <f>"2020/08/04"</f>
        <v>2020/08/04</v>
      </c>
      <c r="J2824" t="str">
        <f>"502"</f>
        <v>502</v>
      </c>
      <c r="K2824" t="str">
        <f>"20201221"</f>
        <v>20201221</v>
      </c>
      <c r="L2824" t="s">
        <v>18</v>
      </c>
      <c r="M2824" t="str">
        <f>"20200801"</f>
        <v>20200801</v>
      </c>
    </row>
    <row r="2825" spans="1:13" x14ac:dyDescent="0.25">
      <c r="A2825" t="str">
        <f>"00621077"</f>
        <v>00621077</v>
      </c>
      <c r="B2825" t="s">
        <v>3825</v>
      </c>
      <c r="C2825" t="s">
        <v>833</v>
      </c>
      <c r="D2825" t="s">
        <v>51</v>
      </c>
      <c r="E2825" t="s">
        <v>26</v>
      </c>
      <c r="F2825" t="s">
        <v>17</v>
      </c>
      <c r="G2825" t="str">
        <f>"04"</f>
        <v>04</v>
      </c>
      <c r="H2825" t="str">
        <f>"3  "</f>
        <v xml:space="preserve">3  </v>
      </c>
      <c r="I2825" t="str">
        <f>"2020/01/31"</f>
        <v>2020/01/31</v>
      </c>
      <c r="J2825" t="str">
        <f>"510"</f>
        <v>510</v>
      </c>
      <c r="K2825" t="str">
        <f>"20210130"</f>
        <v>20210130</v>
      </c>
      <c r="L2825" t="s">
        <v>18</v>
      </c>
      <c r="M2825" t="str">
        <f>"20170123"</f>
        <v>20170123</v>
      </c>
    </row>
    <row r="2826" spans="1:13" x14ac:dyDescent="0.25">
      <c r="A2826" t="str">
        <f>"00635763"</f>
        <v>00635763</v>
      </c>
      <c r="B2826" t="s">
        <v>3908</v>
      </c>
      <c r="C2826" t="s">
        <v>3237</v>
      </c>
      <c r="D2826" t="s">
        <v>26</v>
      </c>
      <c r="E2826" t="s">
        <v>26</v>
      </c>
      <c r="F2826" t="s">
        <v>17</v>
      </c>
      <c r="G2826" t="str">
        <f>"04"</f>
        <v>04</v>
      </c>
      <c r="H2826" t="str">
        <f>"1  "</f>
        <v xml:space="preserve">1  </v>
      </c>
      <c r="I2826" t="str">
        <f>"2020/08/19"</f>
        <v>2020/08/19</v>
      </c>
      <c r="J2826" t="str">
        <f>"502"</f>
        <v>502</v>
      </c>
      <c r="K2826" t="str">
        <f>"20210118"</f>
        <v>20210118</v>
      </c>
      <c r="L2826" t="s">
        <v>18</v>
      </c>
      <c r="M2826" t="str">
        <f>"20200807"</f>
        <v>20200807</v>
      </c>
    </row>
    <row r="2827" spans="1:13" x14ac:dyDescent="0.25">
      <c r="A2827" t="str">
        <f>"00254172"</f>
        <v>00254172</v>
      </c>
      <c r="B2827" t="s">
        <v>3940</v>
      </c>
      <c r="C2827" t="s">
        <v>1023</v>
      </c>
      <c r="D2827" t="s">
        <v>51</v>
      </c>
      <c r="E2827" t="s">
        <v>26</v>
      </c>
      <c r="F2827" t="s">
        <v>17</v>
      </c>
      <c r="G2827" t="str">
        <f>"04"</f>
        <v>04</v>
      </c>
      <c r="H2827" t="str">
        <f>"1  "</f>
        <v xml:space="preserve">1  </v>
      </c>
      <c r="I2827" t="str">
        <f>"2020/07/15"</f>
        <v>2020/07/15</v>
      </c>
      <c r="J2827" t="str">
        <f>"510"</f>
        <v>510</v>
      </c>
      <c r="K2827" t="str">
        <f>"20201214"</f>
        <v>20201214</v>
      </c>
      <c r="L2827" t="s">
        <v>18</v>
      </c>
      <c r="M2827" t="str">
        <f>"20200704"</f>
        <v>20200704</v>
      </c>
    </row>
    <row r="2828" spans="1:13" x14ac:dyDescent="0.25">
      <c r="A2828" t="str">
        <f>"00430791"</f>
        <v>00430791</v>
      </c>
      <c r="B2828" t="s">
        <v>3972</v>
      </c>
      <c r="C2828" t="s">
        <v>2538</v>
      </c>
      <c r="D2828" t="s">
        <v>51</v>
      </c>
      <c r="E2828" t="s">
        <v>26</v>
      </c>
      <c r="F2828" t="s">
        <v>17</v>
      </c>
      <c r="G2828" t="str">
        <f>"04"</f>
        <v>04</v>
      </c>
      <c r="H2828" t="str">
        <f>"1  "</f>
        <v xml:space="preserve">1  </v>
      </c>
      <c r="I2828" t="str">
        <f>"2020/03/25"</f>
        <v>2020/03/25</v>
      </c>
      <c r="J2828" t="str">
        <f>"110"</f>
        <v>110</v>
      </c>
      <c r="K2828" t="str">
        <f>"20201208"</f>
        <v>20201208</v>
      </c>
      <c r="L2828" t="s">
        <v>18</v>
      </c>
      <c r="M2828" t="str">
        <f>"20200325"</f>
        <v>20200325</v>
      </c>
    </row>
    <row r="2829" spans="1:13" x14ac:dyDescent="0.25">
      <c r="A2829" t="str">
        <f>"00455096"</f>
        <v>00455096</v>
      </c>
      <c r="B2829" t="s">
        <v>3972</v>
      </c>
      <c r="C2829" t="s">
        <v>3976</v>
      </c>
      <c r="D2829" t="s">
        <v>53</v>
      </c>
      <c r="E2829" t="s">
        <v>26</v>
      </c>
      <c r="F2829" t="s">
        <v>17</v>
      </c>
      <c r="G2829" t="str">
        <f>"04"</f>
        <v>04</v>
      </c>
      <c r="H2829" t="str">
        <f>"1  "</f>
        <v xml:space="preserve">1  </v>
      </c>
      <c r="I2829" t="str">
        <f>"2020/06/03"</f>
        <v>2020/06/03</v>
      </c>
      <c r="J2829" t="str">
        <f>"510"</f>
        <v>510</v>
      </c>
      <c r="K2829" t="str">
        <f>"20201030"</f>
        <v>20201030</v>
      </c>
      <c r="L2829" t="s">
        <v>18</v>
      </c>
      <c r="M2829" t="str">
        <f>"20200528"</f>
        <v>20200528</v>
      </c>
    </row>
    <row r="2830" spans="1:13" x14ac:dyDescent="0.25">
      <c r="A2830" t="str">
        <f>"00189503"</f>
        <v>00189503</v>
      </c>
      <c r="B2830" t="s">
        <v>3981</v>
      </c>
      <c r="C2830" t="s">
        <v>555</v>
      </c>
      <c r="D2830" t="s">
        <v>31</v>
      </c>
      <c r="E2830" t="s">
        <v>26</v>
      </c>
      <c r="F2830" t="s">
        <v>17</v>
      </c>
      <c r="G2830" t="str">
        <f>"04"</f>
        <v>04</v>
      </c>
      <c r="H2830" t="str">
        <f>"1  "</f>
        <v xml:space="preserve">1  </v>
      </c>
      <c r="I2830" t="str">
        <f>"2020/09/02"</f>
        <v>2020/09/02</v>
      </c>
      <c r="J2830" t="str">
        <f>"510"</f>
        <v>510</v>
      </c>
      <c r="K2830" t="str">
        <f>"20210212"</f>
        <v>20210212</v>
      </c>
      <c r="L2830" t="s">
        <v>18</v>
      </c>
      <c r="M2830" t="str">
        <f>"20200825"</f>
        <v>20200825</v>
      </c>
    </row>
    <row r="2831" spans="1:13" x14ac:dyDescent="0.25">
      <c r="A2831" t="str">
        <f>"00523489"</f>
        <v>00523489</v>
      </c>
      <c r="B2831" t="s">
        <v>4027</v>
      </c>
      <c r="C2831" t="s">
        <v>4028</v>
      </c>
      <c r="D2831" t="s">
        <v>51</v>
      </c>
      <c r="E2831" t="s">
        <v>26</v>
      </c>
      <c r="F2831" t="s">
        <v>17</v>
      </c>
      <c r="G2831" t="str">
        <f>"04"</f>
        <v>04</v>
      </c>
      <c r="H2831" t="str">
        <f>"1  "</f>
        <v xml:space="preserve">1  </v>
      </c>
      <c r="I2831" t="str">
        <f>"2020/06/17"</f>
        <v>2020/06/17</v>
      </c>
      <c r="J2831" t="str">
        <f>"503"</f>
        <v>503</v>
      </c>
      <c r="K2831" t="str">
        <f>"20201105"</f>
        <v>20201105</v>
      </c>
      <c r="L2831" t="s">
        <v>18</v>
      </c>
      <c r="M2831" t="str">
        <f>"20200614"</f>
        <v>20200614</v>
      </c>
    </row>
    <row r="2832" spans="1:13" x14ac:dyDescent="0.25">
      <c r="A2832" t="str">
        <f>"00557399"</f>
        <v>00557399</v>
      </c>
      <c r="B2832" t="s">
        <v>114</v>
      </c>
      <c r="C2832" t="s">
        <v>116</v>
      </c>
      <c r="D2832" t="s">
        <v>16</v>
      </c>
      <c r="E2832" t="s">
        <v>16</v>
      </c>
      <c r="F2832" t="s">
        <v>17</v>
      </c>
      <c r="G2832" t="str">
        <f>"05"</f>
        <v>05</v>
      </c>
      <c r="H2832" t="str">
        <f>"3  "</f>
        <v xml:space="preserve">3  </v>
      </c>
      <c r="I2832" t="str">
        <f>"2020/09/17"</f>
        <v>2020/09/17</v>
      </c>
      <c r="J2832" t="str">
        <f>"503"</f>
        <v>503</v>
      </c>
      <c r="K2832" t="str">
        <f>"20210308"</f>
        <v>20210308</v>
      </c>
      <c r="L2832" t="s">
        <v>18</v>
      </c>
      <c r="M2832" t="str">
        <f>"20180728"</f>
        <v>20180728</v>
      </c>
    </row>
    <row r="2833" spans="1:13" x14ac:dyDescent="0.25">
      <c r="A2833" t="str">
        <f>"00163699"</f>
        <v>00163699</v>
      </c>
      <c r="B2833" t="s">
        <v>114</v>
      </c>
      <c r="C2833" t="s">
        <v>118</v>
      </c>
      <c r="D2833" t="s">
        <v>45</v>
      </c>
      <c r="E2833" t="s">
        <v>26</v>
      </c>
      <c r="F2833" t="s">
        <v>17</v>
      </c>
      <c r="G2833" t="str">
        <f>"05"</f>
        <v>05</v>
      </c>
      <c r="H2833" t="str">
        <f>"1  "</f>
        <v xml:space="preserve">1  </v>
      </c>
      <c r="I2833" t="str">
        <f>"2020/09/03"</f>
        <v>2020/09/03</v>
      </c>
      <c r="J2833" t="str">
        <f>"502"</f>
        <v>502</v>
      </c>
      <c r="K2833" t="str">
        <f>"20201019"</f>
        <v>20201019</v>
      </c>
      <c r="L2833" t="s">
        <v>18</v>
      </c>
      <c r="M2833" t="str">
        <f>"20191118"</f>
        <v>20191118</v>
      </c>
    </row>
    <row r="2834" spans="1:13" x14ac:dyDescent="0.25">
      <c r="A2834" t="str">
        <f>"00522581"</f>
        <v>00522581</v>
      </c>
      <c r="B2834" t="s">
        <v>114</v>
      </c>
      <c r="C2834" t="s">
        <v>74</v>
      </c>
      <c r="D2834" t="s">
        <v>61</v>
      </c>
      <c r="E2834" t="s">
        <v>26</v>
      </c>
      <c r="F2834" t="s">
        <v>17</v>
      </c>
      <c r="G2834" t="str">
        <f>"05"</f>
        <v>05</v>
      </c>
      <c r="H2834" t="str">
        <f>"3  "</f>
        <v xml:space="preserve">3  </v>
      </c>
      <c r="I2834" t="str">
        <f>"2020/08/26"</f>
        <v>2020/08/26</v>
      </c>
      <c r="J2834" t="str">
        <f>"502"</f>
        <v>502</v>
      </c>
      <c r="K2834" t="str">
        <f>"20201024"</f>
        <v>20201024</v>
      </c>
      <c r="L2834" t="s">
        <v>18</v>
      </c>
      <c r="M2834" t="str">
        <f>"20150920"</f>
        <v>20150920</v>
      </c>
    </row>
    <row r="2835" spans="1:13" x14ac:dyDescent="0.25">
      <c r="A2835" t="str">
        <f>"00359821"</f>
        <v>00359821</v>
      </c>
      <c r="B2835" t="s">
        <v>262</v>
      </c>
      <c r="C2835" t="s">
        <v>140</v>
      </c>
      <c r="D2835" t="s">
        <v>15</v>
      </c>
      <c r="E2835" t="s">
        <v>16</v>
      </c>
      <c r="F2835" t="s">
        <v>17</v>
      </c>
      <c r="G2835" t="str">
        <f>"05"</f>
        <v>05</v>
      </c>
      <c r="H2835" t="str">
        <f>"1  "</f>
        <v xml:space="preserve">1  </v>
      </c>
      <c r="I2835" t="str">
        <f>"2020/05/28"</f>
        <v>2020/05/28</v>
      </c>
      <c r="J2835" t="str">
        <f>"503"</f>
        <v>503</v>
      </c>
      <c r="K2835" t="str">
        <f>"20210409"</f>
        <v>20210409</v>
      </c>
      <c r="L2835" t="s">
        <v>18</v>
      </c>
      <c r="M2835" t="str">
        <f>"20200514"</f>
        <v>20200514</v>
      </c>
    </row>
    <row r="2836" spans="1:13" x14ac:dyDescent="0.25">
      <c r="A2836" t="str">
        <f>"00488807"</f>
        <v>00488807</v>
      </c>
      <c r="B2836" t="s">
        <v>262</v>
      </c>
      <c r="C2836" t="s">
        <v>55</v>
      </c>
      <c r="D2836" t="s">
        <v>16</v>
      </c>
      <c r="E2836" t="s">
        <v>16</v>
      </c>
      <c r="F2836" t="s">
        <v>17</v>
      </c>
      <c r="G2836" t="str">
        <f>"05"</f>
        <v>05</v>
      </c>
      <c r="H2836" t="str">
        <f>"1  "</f>
        <v xml:space="preserve">1  </v>
      </c>
      <c r="I2836" t="str">
        <f>"2020/09/17"</f>
        <v>2020/09/17</v>
      </c>
      <c r="J2836" t="str">
        <f>"512"</f>
        <v>512</v>
      </c>
      <c r="K2836" t="str">
        <f>"20210803"</f>
        <v>20210803</v>
      </c>
      <c r="L2836" t="s">
        <v>18</v>
      </c>
      <c r="M2836" t="str">
        <f>"20200828"</f>
        <v>20200828</v>
      </c>
    </row>
    <row r="2837" spans="1:13" x14ac:dyDescent="0.25">
      <c r="A2837" t="str">
        <f>"00732590"</f>
        <v>00732590</v>
      </c>
      <c r="B2837" t="s">
        <v>262</v>
      </c>
      <c r="C2837" t="s">
        <v>169</v>
      </c>
      <c r="D2837" t="s">
        <v>25</v>
      </c>
      <c r="E2837" t="s">
        <v>16</v>
      </c>
      <c r="F2837" t="s">
        <v>17</v>
      </c>
      <c r="G2837" t="str">
        <f>"05"</f>
        <v>05</v>
      </c>
      <c r="H2837" t="str">
        <f>"3  "</f>
        <v xml:space="preserve">3  </v>
      </c>
      <c r="I2837" t="str">
        <f>"2020/09/10"</f>
        <v>2020/09/10</v>
      </c>
      <c r="J2837" t="str">
        <f>"502"</f>
        <v>502</v>
      </c>
      <c r="K2837" t="str">
        <f>"20210803"</f>
        <v>20210803</v>
      </c>
      <c r="L2837" t="s">
        <v>18</v>
      </c>
      <c r="M2837" t="str">
        <f>"20200415"</f>
        <v>20200415</v>
      </c>
    </row>
    <row r="2838" spans="1:13" x14ac:dyDescent="0.25">
      <c r="A2838" t="str">
        <f>"00678965"</f>
        <v>00678965</v>
      </c>
      <c r="B2838" t="s">
        <v>347</v>
      </c>
      <c r="C2838" t="s">
        <v>348</v>
      </c>
      <c r="D2838" t="s">
        <v>61</v>
      </c>
      <c r="E2838" t="s">
        <v>16</v>
      </c>
      <c r="F2838" t="s">
        <v>17</v>
      </c>
      <c r="G2838" t="str">
        <f>"05"</f>
        <v>05</v>
      </c>
      <c r="H2838" t="str">
        <f>"1  "</f>
        <v xml:space="preserve">1  </v>
      </c>
      <c r="I2838" t="str">
        <f>"2020/08/06"</f>
        <v>2020/08/06</v>
      </c>
      <c r="J2838" t="str">
        <f>"510"</f>
        <v>510</v>
      </c>
      <c r="K2838" t="str">
        <f>"20210420"</f>
        <v>20210420</v>
      </c>
      <c r="L2838" t="s">
        <v>18</v>
      </c>
      <c r="M2838" t="str">
        <f>"20200605"</f>
        <v>20200605</v>
      </c>
    </row>
    <row r="2839" spans="1:13" x14ac:dyDescent="0.25">
      <c r="A2839" t="str">
        <f>"00784778"</f>
        <v>00784778</v>
      </c>
      <c r="B2839" t="s">
        <v>350</v>
      </c>
      <c r="C2839" t="s">
        <v>352</v>
      </c>
      <c r="D2839" t="s">
        <v>25</v>
      </c>
      <c r="E2839" t="s">
        <v>26</v>
      </c>
      <c r="F2839" t="s">
        <v>17</v>
      </c>
      <c r="G2839" t="str">
        <f>"05"</f>
        <v>05</v>
      </c>
      <c r="H2839" t="str">
        <f>"3  "</f>
        <v xml:space="preserve">3  </v>
      </c>
      <c r="I2839" t="str">
        <f>"2020/09/17"</f>
        <v>2020/09/17</v>
      </c>
      <c r="J2839" t="str">
        <f>"503"</f>
        <v>503</v>
      </c>
      <c r="K2839" t="str">
        <f>"20260203"</f>
        <v>20260203</v>
      </c>
      <c r="L2839" t="s">
        <v>18</v>
      </c>
      <c r="M2839" t="str">
        <f>"20200901"</f>
        <v>20200901</v>
      </c>
    </row>
    <row r="2840" spans="1:13" x14ac:dyDescent="0.25">
      <c r="A2840" t="str">
        <f>"00316147"</f>
        <v>00316147</v>
      </c>
      <c r="B2840" t="s">
        <v>413</v>
      </c>
      <c r="C2840" t="s">
        <v>414</v>
      </c>
      <c r="D2840" t="s">
        <v>25</v>
      </c>
      <c r="E2840" t="s">
        <v>26</v>
      </c>
      <c r="F2840" t="s">
        <v>17</v>
      </c>
      <c r="G2840" t="str">
        <f>"05"</f>
        <v>05</v>
      </c>
      <c r="H2840" t="str">
        <f>"6  "</f>
        <v xml:space="preserve">6  </v>
      </c>
      <c r="I2840" t="str">
        <f>"2019/10/11"</f>
        <v>2019/10/11</v>
      </c>
      <c r="J2840" t="str">
        <f>"503"</f>
        <v>503</v>
      </c>
      <c r="K2840" t="str">
        <f>"20201112"</f>
        <v>20201112</v>
      </c>
      <c r="L2840" t="s">
        <v>18</v>
      </c>
      <c r="M2840" t="str">
        <f>"20180929"</f>
        <v>20180929</v>
      </c>
    </row>
    <row r="2841" spans="1:13" x14ac:dyDescent="0.25">
      <c r="A2841" t="str">
        <f>"00689336"</f>
        <v>00689336</v>
      </c>
      <c r="B2841" t="s">
        <v>466</v>
      </c>
      <c r="C2841" t="s">
        <v>135</v>
      </c>
      <c r="D2841" t="s">
        <v>40</v>
      </c>
      <c r="E2841" t="s">
        <v>16</v>
      </c>
      <c r="F2841" t="s">
        <v>17</v>
      </c>
      <c r="G2841" t="str">
        <f>"05"</f>
        <v>05</v>
      </c>
      <c r="H2841" t="str">
        <f>"1  "</f>
        <v xml:space="preserve">1  </v>
      </c>
      <c r="I2841" t="str">
        <f>"2020/09/10"</f>
        <v>2020/09/10</v>
      </c>
      <c r="J2841" t="str">
        <f>"502"</f>
        <v>502</v>
      </c>
      <c r="K2841" t="str">
        <f>"20201211"</f>
        <v>20201211</v>
      </c>
      <c r="L2841" t="s">
        <v>18</v>
      </c>
      <c r="M2841" t="str">
        <f>"20200203"</f>
        <v>20200203</v>
      </c>
    </row>
    <row r="2842" spans="1:13" x14ac:dyDescent="0.25">
      <c r="A2842" t="str">
        <f>"00335568"</f>
        <v>00335568</v>
      </c>
      <c r="B2842" t="s">
        <v>558</v>
      </c>
      <c r="C2842" t="s">
        <v>59</v>
      </c>
      <c r="D2842" t="s">
        <v>21</v>
      </c>
      <c r="E2842" t="s">
        <v>16</v>
      </c>
      <c r="F2842" t="s">
        <v>17</v>
      </c>
      <c r="G2842" t="str">
        <f>"05"</f>
        <v>05</v>
      </c>
      <c r="H2842" t="str">
        <f>"1  "</f>
        <v xml:space="preserve">1  </v>
      </c>
      <c r="I2842" t="str">
        <f>"2020/06/25"</f>
        <v>2020/06/25</v>
      </c>
      <c r="J2842" t="str">
        <f>"510"</f>
        <v>510</v>
      </c>
      <c r="K2842" t="str">
        <f>"20210221"</f>
        <v>20210221</v>
      </c>
      <c r="L2842" t="s">
        <v>18</v>
      </c>
      <c r="M2842" t="str">
        <f>"20200326"</f>
        <v>20200326</v>
      </c>
    </row>
    <row r="2843" spans="1:13" x14ac:dyDescent="0.25">
      <c r="A2843" t="str">
        <f>"00529890"</f>
        <v>00529890</v>
      </c>
      <c r="B2843" t="s">
        <v>573</v>
      </c>
      <c r="C2843" t="s">
        <v>48</v>
      </c>
      <c r="D2843" t="s">
        <v>61</v>
      </c>
      <c r="E2843" t="s">
        <v>26</v>
      </c>
      <c r="F2843" t="s">
        <v>17</v>
      </c>
      <c r="G2843" t="str">
        <f>"05"</f>
        <v>05</v>
      </c>
      <c r="H2843" t="str">
        <f>"1  "</f>
        <v xml:space="preserve">1  </v>
      </c>
      <c r="I2843" t="str">
        <f>"2020/05/28"</f>
        <v>2020/05/28</v>
      </c>
      <c r="J2843" t="str">
        <f>"503"</f>
        <v>503</v>
      </c>
      <c r="K2843" t="str">
        <f>"20210331"</f>
        <v>20210331</v>
      </c>
      <c r="L2843" t="s">
        <v>18</v>
      </c>
      <c r="M2843" t="str">
        <f>"20200505"</f>
        <v>20200505</v>
      </c>
    </row>
    <row r="2844" spans="1:13" x14ac:dyDescent="0.25">
      <c r="A2844" t="str">
        <f>"00598404"</f>
        <v>00598404</v>
      </c>
      <c r="B2844" t="s">
        <v>679</v>
      </c>
      <c r="C2844" t="s">
        <v>680</v>
      </c>
      <c r="D2844" t="s">
        <v>25</v>
      </c>
      <c r="E2844" t="s">
        <v>16</v>
      </c>
      <c r="F2844" t="s">
        <v>17</v>
      </c>
      <c r="G2844" t="str">
        <f>"05"</f>
        <v>05</v>
      </c>
      <c r="H2844" t="str">
        <f>"1  "</f>
        <v xml:space="preserve">1  </v>
      </c>
      <c r="I2844" t="str">
        <f>"2020/09/03"</f>
        <v>2020/09/03</v>
      </c>
      <c r="J2844" t="str">
        <f>"503"</f>
        <v>503</v>
      </c>
      <c r="K2844" t="str">
        <f>"20210725"</f>
        <v>20210725</v>
      </c>
      <c r="L2844" t="s">
        <v>18</v>
      </c>
      <c r="M2844" t="str">
        <f>"20200819"</f>
        <v>20200819</v>
      </c>
    </row>
    <row r="2845" spans="1:13" x14ac:dyDescent="0.25">
      <c r="A2845" t="str">
        <f>"00401906"</f>
        <v>00401906</v>
      </c>
      <c r="B2845" t="s">
        <v>728</v>
      </c>
      <c r="C2845" t="s">
        <v>731</v>
      </c>
      <c r="D2845" t="s">
        <v>51</v>
      </c>
      <c r="E2845" t="s">
        <v>26</v>
      </c>
      <c r="F2845" t="s">
        <v>17</v>
      </c>
      <c r="G2845" t="str">
        <f>"05"</f>
        <v>05</v>
      </c>
      <c r="H2845" t="str">
        <f>"1  "</f>
        <v xml:space="preserve">1  </v>
      </c>
      <c r="I2845" t="str">
        <f>"2020/09/10"</f>
        <v>2020/09/10</v>
      </c>
      <c r="J2845" t="str">
        <f>"502"</f>
        <v>502</v>
      </c>
      <c r="K2845" t="str">
        <f>"20210124"</f>
        <v>20210124</v>
      </c>
      <c r="L2845" t="s">
        <v>18</v>
      </c>
      <c r="M2845" t="str">
        <f>"20200310"</f>
        <v>20200310</v>
      </c>
    </row>
    <row r="2846" spans="1:13" x14ac:dyDescent="0.25">
      <c r="A2846" t="str">
        <f>"00637162"</f>
        <v>00637162</v>
      </c>
      <c r="B2846" t="s">
        <v>986</v>
      </c>
      <c r="C2846" t="s">
        <v>624</v>
      </c>
      <c r="D2846" t="s">
        <v>25</v>
      </c>
      <c r="E2846" t="s">
        <v>26</v>
      </c>
      <c r="F2846" t="s">
        <v>17</v>
      </c>
      <c r="G2846" t="str">
        <f>"05"</f>
        <v>05</v>
      </c>
      <c r="H2846" t="str">
        <f>"1  "</f>
        <v xml:space="preserve">1  </v>
      </c>
      <c r="I2846" t="str">
        <f>"2020/08/06"</f>
        <v>2020/08/06</v>
      </c>
      <c r="J2846" t="str">
        <f>"510"</f>
        <v>510</v>
      </c>
      <c r="K2846" t="str">
        <f>"20210610"</f>
        <v>20210610</v>
      </c>
      <c r="L2846" t="s">
        <v>18</v>
      </c>
      <c r="M2846" t="str">
        <f>"20200722"</f>
        <v>20200722</v>
      </c>
    </row>
    <row r="2847" spans="1:13" x14ac:dyDescent="0.25">
      <c r="A2847" t="str">
        <f>"00296752"</f>
        <v>00296752</v>
      </c>
      <c r="B2847" t="s">
        <v>1002</v>
      </c>
      <c r="C2847" t="s">
        <v>1003</v>
      </c>
      <c r="D2847" t="s">
        <v>61</v>
      </c>
      <c r="E2847" t="s">
        <v>26</v>
      </c>
      <c r="F2847" t="s">
        <v>17</v>
      </c>
      <c r="G2847" t="str">
        <f>"05"</f>
        <v>05</v>
      </c>
      <c r="H2847" t="str">
        <f>"3  "</f>
        <v xml:space="preserve">3  </v>
      </c>
      <c r="I2847" t="str">
        <f>"2020/08/06"</f>
        <v>2020/08/06</v>
      </c>
      <c r="J2847" t="str">
        <f>"512"</f>
        <v>512</v>
      </c>
      <c r="K2847" t="str">
        <f>"20290806"</f>
        <v>20290806</v>
      </c>
      <c r="L2847" t="s">
        <v>18</v>
      </c>
      <c r="M2847" t="str">
        <f>"20200721"</f>
        <v>20200721</v>
      </c>
    </row>
    <row r="2848" spans="1:13" x14ac:dyDescent="0.25">
      <c r="A2848" t="str">
        <f>"00249497"</f>
        <v>00249497</v>
      </c>
      <c r="B2848" t="s">
        <v>1015</v>
      </c>
      <c r="C2848" t="s">
        <v>22</v>
      </c>
      <c r="D2848" t="s">
        <v>16</v>
      </c>
      <c r="E2848" t="s">
        <v>16</v>
      </c>
      <c r="F2848" t="s">
        <v>17</v>
      </c>
      <c r="G2848" t="str">
        <f>"05"</f>
        <v>05</v>
      </c>
      <c r="H2848" t="str">
        <f>"1  "</f>
        <v xml:space="preserve">1  </v>
      </c>
      <c r="I2848" t="str">
        <f>"2020/09/03"</f>
        <v>2020/09/03</v>
      </c>
      <c r="J2848" t="str">
        <f>"512"</f>
        <v>512</v>
      </c>
      <c r="K2848" t="str">
        <f>"20210715"</f>
        <v>20210715</v>
      </c>
      <c r="L2848" t="s">
        <v>18</v>
      </c>
      <c r="M2848" t="str">
        <f>"20200823"</f>
        <v>20200823</v>
      </c>
    </row>
    <row r="2849" spans="1:13" x14ac:dyDescent="0.25">
      <c r="A2849" t="str">
        <f>"00359448"</f>
        <v>00359448</v>
      </c>
      <c r="B2849" t="s">
        <v>1033</v>
      </c>
      <c r="C2849" t="s">
        <v>59</v>
      </c>
      <c r="D2849" t="s">
        <v>15</v>
      </c>
      <c r="E2849" t="s">
        <v>16</v>
      </c>
      <c r="F2849" t="s">
        <v>17</v>
      </c>
      <c r="G2849" t="str">
        <f>"05"</f>
        <v>05</v>
      </c>
      <c r="H2849" t="str">
        <f>"3  "</f>
        <v xml:space="preserve">3  </v>
      </c>
      <c r="I2849" t="str">
        <f>"2020/09/03"</f>
        <v>2020/09/03</v>
      </c>
      <c r="J2849" t="str">
        <f>"502"</f>
        <v>502</v>
      </c>
      <c r="K2849" t="str">
        <f>"20220226"</f>
        <v>20220226</v>
      </c>
      <c r="L2849" t="s">
        <v>18</v>
      </c>
      <c r="M2849" t="str">
        <f>"20200525"</f>
        <v>20200525</v>
      </c>
    </row>
    <row r="2850" spans="1:13" x14ac:dyDescent="0.25">
      <c r="A2850" t="str">
        <f>"00227047"</f>
        <v>00227047</v>
      </c>
      <c r="B2850" t="s">
        <v>1056</v>
      </c>
      <c r="C2850" t="s">
        <v>74</v>
      </c>
      <c r="D2850" t="s">
        <v>61</v>
      </c>
      <c r="E2850" t="s">
        <v>16</v>
      </c>
      <c r="F2850" t="s">
        <v>17</v>
      </c>
      <c r="G2850" t="str">
        <f>"05"</f>
        <v>05</v>
      </c>
      <c r="H2850" t="str">
        <f>"1  "</f>
        <v xml:space="preserve">1  </v>
      </c>
      <c r="I2850" t="str">
        <f>"2020/03/26"</f>
        <v>2020/03/26</v>
      </c>
      <c r="J2850" t="str">
        <f>"503"</f>
        <v>503</v>
      </c>
      <c r="K2850" t="str">
        <f>"20210128"</f>
        <v>20210128</v>
      </c>
      <c r="L2850" t="s">
        <v>18</v>
      </c>
      <c r="M2850" t="str">
        <f>"20200314"</f>
        <v>20200314</v>
      </c>
    </row>
    <row r="2851" spans="1:13" x14ac:dyDescent="0.25">
      <c r="A2851" t="str">
        <f>"00349978"</f>
        <v>00349978</v>
      </c>
      <c r="B2851" t="s">
        <v>1087</v>
      </c>
      <c r="C2851" t="s">
        <v>96</v>
      </c>
      <c r="D2851" t="s">
        <v>21</v>
      </c>
      <c r="E2851" t="s">
        <v>16</v>
      </c>
      <c r="F2851" t="s">
        <v>17</v>
      </c>
      <c r="G2851" t="str">
        <f>"05"</f>
        <v>05</v>
      </c>
      <c r="H2851" t="str">
        <f>"1  "</f>
        <v xml:space="preserve">1  </v>
      </c>
      <c r="I2851" t="str">
        <f>"2020/09/16"</f>
        <v>2020/09/16</v>
      </c>
      <c r="J2851" t="str">
        <f>"502"</f>
        <v>502</v>
      </c>
      <c r="K2851" t="str">
        <f>"20210513"</f>
        <v>20210513</v>
      </c>
      <c r="L2851" t="s">
        <v>18</v>
      </c>
      <c r="M2851" t="str">
        <f>"20200624"</f>
        <v>20200624</v>
      </c>
    </row>
    <row r="2852" spans="1:13" x14ac:dyDescent="0.25">
      <c r="A2852" t="str">
        <f>"00260756"</f>
        <v>00260756</v>
      </c>
      <c r="B2852" t="s">
        <v>1498</v>
      </c>
      <c r="C2852" t="s">
        <v>197</v>
      </c>
      <c r="D2852" t="s">
        <v>61</v>
      </c>
      <c r="E2852" t="s">
        <v>26</v>
      </c>
      <c r="F2852" t="s">
        <v>17</v>
      </c>
      <c r="G2852" t="str">
        <f>"05"</f>
        <v>05</v>
      </c>
      <c r="H2852" t="str">
        <f>"1  "</f>
        <v xml:space="preserve">1  </v>
      </c>
      <c r="I2852" t="str">
        <f>"2020/08/20"</f>
        <v>2020/08/20</v>
      </c>
      <c r="J2852" t="str">
        <f>"503"</f>
        <v>503</v>
      </c>
      <c r="K2852" t="str">
        <f>"20210613"</f>
        <v>20210613</v>
      </c>
      <c r="L2852" t="s">
        <v>18</v>
      </c>
      <c r="M2852" t="str">
        <f>"20200714"</f>
        <v>20200714</v>
      </c>
    </row>
    <row r="2853" spans="1:13" x14ac:dyDescent="0.25">
      <c r="A2853" t="str">
        <f>"00734048"</f>
        <v>00734048</v>
      </c>
      <c r="B2853" t="s">
        <v>1653</v>
      </c>
      <c r="C2853" t="s">
        <v>20</v>
      </c>
      <c r="D2853" t="s">
        <v>53</v>
      </c>
      <c r="E2853" t="s">
        <v>16</v>
      </c>
      <c r="F2853" t="s">
        <v>17</v>
      </c>
      <c r="G2853" t="str">
        <f>"05"</f>
        <v>05</v>
      </c>
      <c r="H2853" t="str">
        <f>"1  "</f>
        <v xml:space="preserve">1  </v>
      </c>
      <c r="I2853" t="str">
        <f>"2020/09/10"</f>
        <v>2020/09/10</v>
      </c>
      <c r="J2853" t="str">
        <f>"502"</f>
        <v>502</v>
      </c>
      <c r="K2853" t="str">
        <f>"20210306"</f>
        <v>20210306</v>
      </c>
      <c r="L2853" t="s">
        <v>18</v>
      </c>
      <c r="M2853" t="str">
        <f>"20200421"</f>
        <v>20200421</v>
      </c>
    </row>
    <row r="2854" spans="1:13" x14ac:dyDescent="0.25">
      <c r="A2854" t="str">
        <f>"00166308"</f>
        <v>00166308</v>
      </c>
      <c r="B2854" t="s">
        <v>1741</v>
      </c>
      <c r="C2854" t="s">
        <v>531</v>
      </c>
      <c r="D2854" t="s">
        <v>15</v>
      </c>
      <c r="E2854" t="s">
        <v>16</v>
      </c>
      <c r="F2854" t="s">
        <v>17</v>
      </c>
      <c r="G2854" t="str">
        <f>"05"</f>
        <v>05</v>
      </c>
      <c r="H2854" t="str">
        <f>"1  "</f>
        <v xml:space="preserve">1  </v>
      </c>
      <c r="I2854" t="str">
        <f>"2020/08/20"</f>
        <v>2020/08/20</v>
      </c>
      <c r="J2854" t="str">
        <f>"510"</f>
        <v>510</v>
      </c>
      <c r="K2854" t="str">
        <f>"20201217"</f>
        <v>20201217</v>
      </c>
      <c r="L2854" t="s">
        <v>18</v>
      </c>
      <c r="M2854" t="str">
        <f>"20200323"</f>
        <v>20200323</v>
      </c>
    </row>
    <row r="2855" spans="1:13" x14ac:dyDescent="0.25">
      <c r="A2855" t="str">
        <f>"00640354"</f>
        <v>00640354</v>
      </c>
      <c r="B2855" t="s">
        <v>1749</v>
      </c>
      <c r="C2855" t="s">
        <v>1750</v>
      </c>
      <c r="D2855" t="s">
        <v>21</v>
      </c>
      <c r="E2855" t="s">
        <v>16</v>
      </c>
      <c r="F2855" t="s">
        <v>17</v>
      </c>
      <c r="G2855" t="str">
        <f>"05"</f>
        <v>05</v>
      </c>
      <c r="H2855" t="str">
        <f>"1  "</f>
        <v xml:space="preserve">1  </v>
      </c>
      <c r="I2855" t="str">
        <f>"2020/09/17"</f>
        <v>2020/09/17</v>
      </c>
      <c r="J2855" t="str">
        <f>"503"</f>
        <v>503</v>
      </c>
      <c r="K2855" t="str">
        <f>"20210731"</f>
        <v>20210731</v>
      </c>
      <c r="L2855" t="s">
        <v>18</v>
      </c>
      <c r="M2855" t="str">
        <f>"20200906"</f>
        <v>20200906</v>
      </c>
    </row>
    <row r="2856" spans="1:13" x14ac:dyDescent="0.25">
      <c r="A2856" t="str">
        <f>"00685441"</f>
        <v>00685441</v>
      </c>
      <c r="B2856" t="s">
        <v>1796</v>
      </c>
      <c r="C2856" t="s">
        <v>1798</v>
      </c>
      <c r="D2856" t="s">
        <v>25</v>
      </c>
      <c r="E2856" t="s">
        <v>26</v>
      </c>
      <c r="F2856" t="s">
        <v>17</v>
      </c>
      <c r="G2856" t="str">
        <f>"05"</f>
        <v>05</v>
      </c>
      <c r="H2856" t="str">
        <f>"3  "</f>
        <v xml:space="preserve">3  </v>
      </c>
      <c r="I2856" t="str">
        <f>"2020/09/17"</f>
        <v>2020/09/17</v>
      </c>
      <c r="J2856" t="str">
        <f>"503"</f>
        <v>503</v>
      </c>
      <c r="K2856" t="str">
        <f>"20201103"</f>
        <v>20201103</v>
      </c>
      <c r="L2856" t="s">
        <v>18</v>
      </c>
      <c r="M2856" t="str">
        <f>"20160128"</f>
        <v>20160128</v>
      </c>
    </row>
    <row r="2857" spans="1:13" x14ac:dyDescent="0.25">
      <c r="A2857" t="str">
        <f>"00288854"</f>
        <v>00288854</v>
      </c>
      <c r="B2857" t="s">
        <v>1802</v>
      </c>
      <c r="C2857" t="s">
        <v>1803</v>
      </c>
      <c r="D2857" t="s">
        <v>61</v>
      </c>
      <c r="E2857" t="s">
        <v>26</v>
      </c>
      <c r="F2857" t="s">
        <v>17</v>
      </c>
      <c r="G2857" t="str">
        <f>"05"</f>
        <v>05</v>
      </c>
      <c r="H2857" t="str">
        <f>"3  "</f>
        <v xml:space="preserve">3  </v>
      </c>
      <c r="I2857" t="str">
        <f>"2020/03/26"</f>
        <v>2020/03/26</v>
      </c>
      <c r="J2857" t="str">
        <f>"502"</f>
        <v>502</v>
      </c>
      <c r="K2857" t="str">
        <f>"20270515"</f>
        <v>20270515</v>
      </c>
      <c r="L2857" t="s">
        <v>18</v>
      </c>
      <c r="M2857" t="str">
        <f>"20200322"</f>
        <v>20200322</v>
      </c>
    </row>
    <row r="2858" spans="1:13" x14ac:dyDescent="0.25">
      <c r="A2858" t="str">
        <f>"00425815"</f>
        <v>00425815</v>
      </c>
      <c r="B2858" t="s">
        <v>1870</v>
      </c>
      <c r="C2858" t="s">
        <v>329</v>
      </c>
      <c r="D2858" t="s">
        <v>80</v>
      </c>
      <c r="E2858" t="s">
        <v>16</v>
      </c>
      <c r="F2858" t="s">
        <v>17</v>
      </c>
      <c r="G2858" t="str">
        <f>"05"</f>
        <v>05</v>
      </c>
      <c r="H2858" t="str">
        <f>"1  "</f>
        <v xml:space="preserve">1  </v>
      </c>
      <c r="I2858" t="str">
        <f>"2020/09/03"</f>
        <v>2020/09/03</v>
      </c>
      <c r="J2858" t="str">
        <f>"502"</f>
        <v>502</v>
      </c>
      <c r="K2858" t="str">
        <f>"20201219"</f>
        <v>20201219</v>
      </c>
      <c r="L2858" t="s">
        <v>18</v>
      </c>
      <c r="M2858" t="str">
        <f>"20200207"</f>
        <v>20200207</v>
      </c>
    </row>
    <row r="2859" spans="1:13" x14ac:dyDescent="0.25">
      <c r="A2859" t="str">
        <f>"00321513"</f>
        <v>00321513</v>
      </c>
      <c r="B2859" t="s">
        <v>1954</v>
      </c>
      <c r="C2859" t="s">
        <v>1955</v>
      </c>
      <c r="D2859" t="s">
        <v>45</v>
      </c>
      <c r="E2859" t="s">
        <v>16</v>
      </c>
      <c r="F2859" t="s">
        <v>17</v>
      </c>
      <c r="G2859" t="str">
        <f>"05"</f>
        <v>05</v>
      </c>
      <c r="H2859" t="str">
        <f>"1  "</f>
        <v xml:space="preserve">1  </v>
      </c>
      <c r="I2859" t="str">
        <f>"2020/06/11"</f>
        <v>2020/06/11</v>
      </c>
      <c r="J2859" t="str">
        <f>"503"</f>
        <v>503</v>
      </c>
      <c r="K2859" t="str">
        <f>"20210424"</f>
        <v>20210424</v>
      </c>
      <c r="L2859" t="s">
        <v>18</v>
      </c>
      <c r="M2859" t="str">
        <f>"20200610"</f>
        <v>20200610</v>
      </c>
    </row>
    <row r="2860" spans="1:13" x14ac:dyDescent="0.25">
      <c r="A2860" t="str">
        <f>"00253655"</f>
        <v>00253655</v>
      </c>
      <c r="B2860" t="s">
        <v>1961</v>
      </c>
      <c r="C2860" t="s">
        <v>136</v>
      </c>
      <c r="D2860" t="s">
        <v>15</v>
      </c>
      <c r="E2860" t="s">
        <v>16</v>
      </c>
      <c r="F2860" t="s">
        <v>17</v>
      </c>
      <c r="G2860" t="str">
        <f>"05"</f>
        <v>05</v>
      </c>
      <c r="H2860" t="str">
        <f>"3  "</f>
        <v xml:space="preserve">3  </v>
      </c>
      <c r="I2860" t="str">
        <f>"2020/09/03"</f>
        <v>2020/09/03</v>
      </c>
      <c r="J2860" t="str">
        <f>"503"</f>
        <v>503</v>
      </c>
      <c r="K2860" t="str">
        <f>"20201227"</f>
        <v>20201227</v>
      </c>
      <c r="L2860" t="s">
        <v>18</v>
      </c>
      <c r="M2860" t="str">
        <f>"20180715"</f>
        <v>20180715</v>
      </c>
    </row>
    <row r="2861" spans="1:13" x14ac:dyDescent="0.25">
      <c r="A2861" t="str">
        <f>"00587764"</f>
        <v>00587764</v>
      </c>
      <c r="B2861" t="s">
        <v>1964</v>
      </c>
      <c r="C2861" t="s">
        <v>1965</v>
      </c>
      <c r="D2861" t="s">
        <v>97</v>
      </c>
      <c r="E2861" t="s">
        <v>26</v>
      </c>
      <c r="F2861" t="s">
        <v>17</v>
      </c>
      <c r="G2861" t="str">
        <f>"05"</f>
        <v>05</v>
      </c>
      <c r="H2861" t="str">
        <f>"1  "</f>
        <v xml:space="preserve">1  </v>
      </c>
      <c r="I2861" t="str">
        <f>"2020/09/03"</f>
        <v>2020/09/03</v>
      </c>
      <c r="J2861" t="str">
        <f>"502"</f>
        <v>502</v>
      </c>
      <c r="K2861" t="str">
        <f>"20201210"</f>
        <v>20201210</v>
      </c>
      <c r="L2861" t="s">
        <v>18</v>
      </c>
      <c r="M2861" t="str">
        <f>"20200129"</f>
        <v>20200129</v>
      </c>
    </row>
    <row r="2862" spans="1:13" x14ac:dyDescent="0.25">
      <c r="A2862" t="str">
        <f>"00698213"</f>
        <v>00698213</v>
      </c>
      <c r="B2862" t="s">
        <v>2079</v>
      </c>
      <c r="C2862" t="s">
        <v>2080</v>
      </c>
      <c r="D2862" t="s">
        <v>53</v>
      </c>
      <c r="E2862" t="s">
        <v>26</v>
      </c>
      <c r="F2862" t="s">
        <v>17</v>
      </c>
      <c r="G2862" t="str">
        <f>"05"</f>
        <v>05</v>
      </c>
      <c r="H2862" t="str">
        <f>"1  "</f>
        <v xml:space="preserve">1  </v>
      </c>
      <c r="I2862" t="str">
        <f>"2020/09/03"</f>
        <v>2020/09/03</v>
      </c>
      <c r="J2862" t="str">
        <f>"502"</f>
        <v>502</v>
      </c>
      <c r="K2862" t="str">
        <f>"20210202"</f>
        <v>20210202</v>
      </c>
      <c r="L2862" t="s">
        <v>18</v>
      </c>
      <c r="M2862" t="str">
        <f>"20200303"</f>
        <v>20200303</v>
      </c>
    </row>
    <row r="2863" spans="1:13" x14ac:dyDescent="0.25">
      <c r="A2863" t="str">
        <f>"00219907"</f>
        <v>00219907</v>
      </c>
      <c r="B2863" t="s">
        <v>2121</v>
      </c>
      <c r="C2863" t="s">
        <v>44</v>
      </c>
      <c r="D2863" t="s">
        <v>73</v>
      </c>
      <c r="E2863" t="s">
        <v>16</v>
      </c>
      <c r="F2863" t="s">
        <v>17</v>
      </c>
      <c r="G2863" t="str">
        <f>"05"</f>
        <v>05</v>
      </c>
      <c r="H2863" t="str">
        <f>"1  "</f>
        <v xml:space="preserve">1  </v>
      </c>
      <c r="I2863" t="str">
        <f>"2020/05/28"</f>
        <v>2020/05/28</v>
      </c>
      <c r="J2863" t="str">
        <f>"503"</f>
        <v>503</v>
      </c>
      <c r="K2863" t="str">
        <f>"20210312"</f>
        <v>20210312</v>
      </c>
      <c r="L2863" t="s">
        <v>18</v>
      </c>
      <c r="M2863" t="str">
        <f>"20200506"</f>
        <v>20200506</v>
      </c>
    </row>
    <row r="2864" spans="1:13" x14ac:dyDescent="0.25">
      <c r="A2864" t="str">
        <f>"00380382"</f>
        <v>00380382</v>
      </c>
      <c r="B2864" t="s">
        <v>2122</v>
      </c>
      <c r="C2864" t="s">
        <v>1062</v>
      </c>
      <c r="D2864" t="s">
        <v>21</v>
      </c>
      <c r="E2864" t="s">
        <v>26</v>
      </c>
      <c r="F2864" t="s">
        <v>17</v>
      </c>
      <c r="G2864" t="str">
        <f>"05"</f>
        <v>05</v>
      </c>
      <c r="H2864" t="str">
        <f>"3  "</f>
        <v xml:space="preserve">3  </v>
      </c>
      <c r="I2864" t="str">
        <f>"2018/11/30"</f>
        <v>2018/11/30</v>
      </c>
      <c r="J2864" t="str">
        <f>"502"</f>
        <v>502</v>
      </c>
      <c r="K2864" t="str">
        <f>"20201013"</f>
        <v>20201013</v>
      </c>
      <c r="L2864" t="s">
        <v>18</v>
      </c>
      <c r="M2864" t="str">
        <f>"20170215"</f>
        <v>20170215</v>
      </c>
    </row>
    <row r="2865" spans="1:13" x14ac:dyDescent="0.25">
      <c r="A2865" t="str">
        <f>"00137250"</f>
        <v>00137250</v>
      </c>
      <c r="B2865" t="s">
        <v>2146</v>
      </c>
      <c r="C2865" t="s">
        <v>125</v>
      </c>
      <c r="D2865" t="s">
        <v>51</v>
      </c>
      <c r="E2865" t="s">
        <v>16</v>
      </c>
      <c r="F2865" t="s">
        <v>17</v>
      </c>
      <c r="G2865" t="str">
        <f>"05"</f>
        <v>05</v>
      </c>
      <c r="H2865" t="str">
        <f>"3  "</f>
        <v xml:space="preserve">3  </v>
      </c>
      <c r="I2865" t="str">
        <f>"2020/09/03"</f>
        <v>2020/09/03</v>
      </c>
      <c r="J2865" t="str">
        <f>"510"</f>
        <v>510</v>
      </c>
      <c r="K2865" t="str">
        <f>"20290821"</f>
        <v>20290821</v>
      </c>
      <c r="L2865" t="s">
        <v>18</v>
      </c>
      <c r="M2865" t="str">
        <f>"20200817"</f>
        <v>20200817</v>
      </c>
    </row>
    <row r="2866" spans="1:13" x14ac:dyDescent="0.25">
      <c r="A2866" t="str">
        <f>"00448903"</f>
        <v>00448903</v>
      </c>
      <c r="B2866" t="s">
        <v>2181</v>
      </c>
      <c r="C2866" t="s">
        <v>2182</v>
      </c>
      <c r="D2866" t="s">
        <v>45</v>
      </c>
      <c r="E2866" t="s">
        <v>26</v>
      </c>
      <c r="F2866" t="s">
        <v>17</v>
      </c>
      <c r="G2866" t="str">
        <f>"05"</f>
        <v>05</v>
      </c>
      <c r="H2866" t="str">
        <f>"3  "</f>
        <v xml:space="preserve">3  </v>
      </c>
      <c r="I2866" t="str">
        <f>"2019/06/04"</f>
        <v>2019/06/04</v>
      </c>
      <c r="J2866" t="str">
        <f>"504"</f>
        <v>504</v>
      </c>
      <c r="K2866" t="str">
        <f>"20210919"</f>
        <v>20210919</v>
      </c>
      <c r="L2866" t="s">
        <v>18</v>
      </c>
      <c r="M2866" t="str">
        <f>"20170525"</f>
        <v>20170525</v>
      </c>
    </row>
    <row r="2867" spans="1:13" x14ac:dyDescent="0.25">
      <c r="A2867" t="str">
        <f>"00477181"</f>
        <v>00477181</v>
      </c>
      <c r="B2867" t="s">
        <v>2205</v>
      </c>
      <c r="C2867" t="s">
        <v>788</v>
      </c>
      <c r="D2867" t="s">
        <v>61</v>
      </c>
      <c r="E2867" t="s">
        <v>16</v>
      </c>
      <c r="F2867" t="s">
        <v>17</v>
      </c>
      <c r="G2867" t="str">
        <f>"05"</f>
        <v>05</v>
      </c>
      <c r="H2867" t="str">
        <f>"1  "</f>
        <v xml:space="preserve">1  </v>
      </c>
      <c r="I2867" t="str">
        <f>"2020/08/06"</f>
        <v>2020/08/06</v>
      </c>
      <c r="J2867" t="str">
        <f>"510"</f>
        <v>510</v>
      </c>
      <c r="K2867" t="str">
        <f>"20201211"</f>
        <v>20201211</v>
      </c>
      <c r="L2867" t="s">
        <v>18</v>
      </c>
      <c r="M2867" t="str">
        <f>"20200624"</f>
        <v>20200624</v>
      </c>
    </row>
    <row r="2868" spans="1:13" x14ac:dyDescent="0.25">
      <c r="A2868" t="str">
        <f>"00504307"</f>
        <v>00504307</v>
      </c>
      <c r="B2868" t="s">
        <v>2363</v>
      </c>
      <c r="C2868" t="s">
        <v>169</v>
      </c>
      <c r="D2868" t="s">
        <v>15</v>
      </c>
      <c r="E2868" t="s">
        <v>26</v>
      </c>
      <c r="F2868" t="s">
        <v>17</v>
      </c>
      <c r="G2868" t="str">
        <f>"05"</f>
        <v>05</v>
      </c>
      <c r="H2868" t="str">
        <f>"3  "</f>
        <v xml:space="preserve">3  </v>
      </c>
      <c r="I2868" t="str">
        <f>"2020/09/03"</f>
        <v>2020/09/03</v>
      </c>
      <c r="J2868" t="str">
        <f>"502"</f>
        <v>502</v>
      </c>
      <c r="K2868" t="str">
        <f>"20210221"</f>
        <v>20210221</v>
      </c>
      <c r="L2868" t="s">
        <v>18</v>
      </c>
      <c r="M2868" t="str">
        <f>"20200415"</f>
        <v>20200415</v>
      </c>
    </row>
    <row r="2869" spans="1:13" x14ac:dyDescent="0.25">
      <c r="A2869" t="str">
        <f>"00799615"</f>
        <v>00799615</v>
      </c>
      <c r="B2869" t="s">
        <v>2433</v>
      </c>
      <c r="C2869" t="s">
        <v>2434</v>
      </c>
      <c r="D2869" t="s">
        <v>25</v>
      </c>
      <c r="E2869" t="s">
        <v>16</v>
      </c>
      <c r="F2869" t="s">
        <v>17</v>
      </c>
      <c r="G2869" t="str">
        <f>"05"</f>
        <v>05</v>
      </c>
      <c r="H2869" t="str">
        <f>"3  "</f>
        <v xml:space="preserve">3  </v>
      </c>
      <c r="I2869" t="str">
        <f>"2020/08/06"</f>
        <v>2020/08/06</v>
      </c>
      <c r="J2869" t="str">
        <f>"512"</f>
        <v>512</v>
      </c>
      <c r="K2869" t="str">
        <f>"20310513"</f>
        <v>20310513</v>
      </c>
      <c r="L2869" t="s">
        <v>18</v>
      </c>
      <c r="M2869" t="str">
        <f>"20200721"</f>
        <v>20200721</v>
      </c>
    </row>
    <row r="2870" spans="1:13" x14ac:dyDescent="0.25">
      <c r="A2870" t="str">
        <f>"00428836"</f>
        <v>00428836</v>
      </c>
      <c r="B2870" t="s">
        <v>2439</v>
      </c>
      <c r="C2870" t="s">
        <v>348</v>
      </c>
      <c r="D2870" t="s">
        <v>51</v>
      </c>
      <c r="E2870" t="s">
        <v>16</v>
      </c>
      <c r="F2870" t="s">
        <v>17</v>
      </c>
      <c r="G2870" t="str">
        <f>"05"</f>
        <v>05</v>
      </c>
      <c r="H2870" t="str">
        <f>"3  "</f>
        <v xml:space="preserve">3  </v>
      </c>
      <c r="I2870" t="str">
        <f>"2020/09/03"</f>
        <v>2020/09/03</v>
      </c>
      <c r="J2870" t="str">
        <f>"510"</f>
        <v>510</v>
      </c>
      <c r="K2870" t="str">
        <f>"20270327"</f>
        <v>20270327</v>
      </c>
      <c r="L2870" t="s">
        <v>18</v>
      </c>
      <c r="M2870" t="str">
        <f>"20200611"</f>
        <v>20200611</v>
      </c>
    </row>
    <row r="2871" spans="1:13" x14ac:dyDescent="0.25">
      <c r="A2871" t="str">
        <f>"00418077"</f>
        <v>00418077</v>
      </c>
      <c r="B2871" t="s">
        <v>2460</v>
      </c>
      <c r="C2871" t="s">
        <v>281</v>
      </c>
      <c r="D2871" t="s">
        <v>40</v>
      </c>
      <c r="E2871" t="s">
        <v>26</v>
      </c>
      <c r="F2871" t="s">
        <v>17</v>
      </c>
      <c r="G2871" t="str">
        <f>"05"</f>
        <v>05</v>
      </c>
      <c r="H2871" t="str">
        <f>"1  "</f>
        <v xml:space="preserve">1  </v>
      </c>
      <c r="I2871" t="str">
        <f>"2020/09/17"</f>
        <v>2020/09/17</v>
      </c>
      <c r="J2871" t="str">
        <f>"512"</f>
        <v>512</v>
      </c>
      <c r="K2871" t="str">
        <f>"20210719"</f>
        <v>20210719</v>
      </c>
      <c r="L2871" t="s">
        <v>18</v>
      </c>
      <c r="M2871" t="str">
        <f>"20200821"</f>
        <v>20200821</v>
      </c>
    </row>
    <row r="2872" spans="1:13" x14ac:dyDescent="0.25">
      <c r="A2872" t="str">
        <f>"00279450"</f>
        <v>00279450</v>
      </c>
      <c r="B2872" t="s">
        <v>2484</v>
      </c>
      <c r="C2872" t="s">
        <v>176</v>
      </c>
      <c r="D2872" t="s">
        <v>26</v>
      </c>
      <c r="E2872" t="s">
        <v>16</v>
      </c>
      <c r="F2872" t="s">
        <v>17</v>
      </c>
      <c r="G2872" t="str">
        <f>"05"</f>
        <v>05</v>
      </c>
      <c r="H2872" t="str">
        <f>"3  "</f>
        <v xml:space="preserve">3  </v>
      </c>
      <c r="I2872" t="str">
        <f>"2020/02/27"</f>
        <v>2020/02/27</v>
      </c>
      <c r="J2872" t="str">
        <f>"510"</f>
        <v>510</v>
      </c>
      <c r="K2872" t="str">
        <f>"20240730"</f>
        <v>20240730</v>
      </c>
      <c r="L2872" t="s">
        <v>18</v>
      </c>
      <c r="M2872" t="str">
        <f>"20200210"</f>
        <v>20200210</v>
      </c>
    </row>
    <row r="2873" spans="1:13" x14ac:dyDescent="0.25">
      <c r="A2873" t="str">
        <f>"00180852"</f>
        <v>00180852</v>
      </c>
      <c r="B2873" t="s">
        <v>2520</v>
      </c>
      <c r="C2873" t="s">
        <v>2521</v>
      </c>
      <c r="D2873" t="s">
        <v>31</v>
      </c>
      <c r="E2873" t="s">
        <v>26</v>
      </c>
      <c r="F2873" t="s">
        <v>17</v>
      </c>
      <c r="G2873" t="str">
        <f>"05"</f>
        <v>05</v>
      </c>
      <c r="H2873" t="str">
        <f>"1  "</f>
        <v xml:space="preserve">1  </v>
      </c>
      <c r="I2873" t="str">
        <f>"2020/04/23"</f>
        <v>2020/04/23</v>
      </c>
      <c r="J2873" t="str">
        <f>"510"</f>
        <v>510</v>
      </c>
      <c r="K2873" t="s">
        <v>18</v>
      </c>
      <c r="L2873" t="s">
        <v>18</v>
      </c>
      <c r="M2873" t="str">
        <f>"20200401"</f>
        <v>20200401</v>
      </c>
    </row>
    <row r="2874" spans="1:13" x14ac:dyDescent="0.25">
      <c r="A2874" t="str">
        <f>"00503755"</f>
        <v>00503755</v>
      </c>
      <c r="B2874" t="s">
        <v>2687</v>
      </c>
      <c r="C2874" t="s">
        <v>172</v>
      </c>
      <c r="D2874" t="s">
        <v>61</v>
      </c>
      <c r="E2874" t="s">
        <v>16</v>
      </c>
      <c r="F2874" t="s">
        <v>17</v>
      </c>
      <c r="G2874" t="str">
        <f>"05"</f>
        <v>05</v>
      </c>
      <c r="H2874" t="str">
        <f>"1  "</f>
        <v xml:space="preserve">1  </v>
      </c>
      <c r="I2874" t="str">
        <f>"2020/09/03"</f>
        <v>2020/09/03</v>
      </c>
      <c r="J2874" t="str">
        <f>"510"</f>
        <v>510</v>
      </c>
      <c r="K2874" t="str">
        <f>"20210815"</f>
        <v>20210815</v>
      </c>
      <c r="L2874" t="s">
        <v>18</v>
      </c>
      <c r="M2874" t="str">
        <f>"20200816"</f>
        <v>20200816</v>
      </c>
    </row>
    <row r="2875" spans="1:13" x14ac:dyDescent="0.25">
      <c r="A2875" t="str">
        <f>"00585863"</f>
        <v>00585863</v>
      </c>
      <c r="B2875" t="s">
        <v>2749</v>
      </c>
      <c r="C2875" t="s">
        <v>2750</v>
      </c>
      <c r="D2875" t="s">
        <v>53</v>
      </c>
      <c r="E2875" t="s">
        <v>26</v>
      </c>
      <c r="F2875" t="s">
        <v>17</v>
      </c>
      <c r="G2875" t="str">
        <f>"05"</f>
        <v>05</v>
      </c>
      <c r="H2875" t="str">
        <f>"1  "</f>
        <v xml:space="preserve">1  </v>
      </c>
      <c r="I2875" t="str">
        <f>"2020/08/06"</f>
        <v>2020/08/06</v>
      </c>
      <c r="J2875" t="str">
        <f>"512"</f>
        <v>512</v>
      </c>
      <c r="K2875" t="str">
        <f>"20210518"</f>
        <v>20210518</v>
      </c>
      <c r="L2875" t="s">
        <v>18</v>
      </c>
      <c r="M2875" t="str">
        <f>"20200618"</f>
        <v>20200618</v>
      </c>
    </row>
    <row r="2876" spans="1:13" x14ac:dyDescent="0.25">
      <c r="A2876" t="str">
        <f>"00751607"</f>
        <v>00751607</v>
      </c>
      <c r="B2876" t="s">
        <v>2911</v>
      </c>
      <c r="C2876" t="s">
        <v>140</v>
      </c>
      <c r="D2876" t="s">
        <v>25</v>
      </c>
      <c r="E2876" t="s">
        <v>26</v>
      </c>
      <c r="F2876" t="s">
        <v>17</v>
      </c>
      <c r="G2876" t="str">
        <f>"05"</f>
        <v>05</v>
      </c>
      <c r="H2876" t="str">
        <f>"3  "</f>
        <v xml:space="preserve">3  </v>
      </c>
      <c r="I2876" t="str">
        <f>"2020/08/17"</f>
        <v>2020/08/17</v>
      </c>
      <c r="J2876" t="str">
        <f>"504"</f>
        <v>504</v>
      </c>
      <c r="K2876" t="str">
        <f>"20201122"</f>
        <v>20201122</v>
      </c>
      <c r="L2876" t="s">
        <v>18</v>
      </c>
      <c r="M2876" t="str">
        <f>"20180628"</f>
        <v>20180628</v>
      </c>
    </row>
    <row r="2877" spans="1:13" x14ac:dyDescent="0.25">
      <c r="A2877" t="str">
        <f>"00676669"</f>
        <v>00676669</v>
      </c>
      <c r="B2877" t="s">
        <v>2930</v>
      </c>
      <c r="C2877" t="s">
        <v>2931</v>
      </c>
      <c r="D2877" t="s">
        <v>182</v>
      </c>
      <c r="E2877" t="s">
        <v>16</v>
      </c>
      <c r="F2877" t="s">
        <v>17</v>
      </c>
      <c r="G2877" t="str">
        <f>"05"</f>
        <v>05</v>
      </c>
      <c r="H2877" t="str">
        <f>"1  "</f>
        <v xml:space="preserve">1  </v>
      </c>
      <c r="I2877" t="str">
        <f>"2020/09/17"</f>
        <v>2020/09/17</v>
      </c>
      <c r="J2877" t="str">
        <f>"512"</f>
        <v>512</v>
      </c>
      <c r="K2877" t="str">
        <f>"20210824"</f>
        <v>20210824</v>
      </c>
      <c r="L2877" t="s">
        <v>18</v>
      </c>
      <c r="M2877" t="str">
        <f>"20200826"</f>
        <v>20200826</v>
      </c>
    </row>
    <row r="2878" spans="1:13" x14ac:dyDescent="0.25">
      <c r="A2878" t="str">
        <f>"00236691"</f>
        <v>00236691</v>
      </c>
      <c r="B2878" t="s">
        <v>2940</v>
      </c>
      <c r="C2878" t="s">
        <v>118</v>
      </c>
      <c r="D2878" t="s">
        <v>16</v>
      </c>
      <c r="E2878" t="s">
        <v>16</v>
      </c>
      <c r="F2878" t="s">
        <v>17</v>
      </c>
      <c r="G2878" t="str">
        <f>"05"</f>
        <v>05</v>
      </c>
      <c r="H2878" t="str">
        <f>"1  "</f>
        <v xml:space="preserve">1  </v>
      </c>
      <c r="I2878" t="str">
        <f>"2020/08/20"</f>
        <v>2020/08/20</v>
      </c>
      <c r="J2878" t="str">
        <f>"503"</f>
        <v>503</v>
      </c>
      <c r="K2878" t="str">
        <f>"20210626"</f>
        <v>20210626</v>
      </c>
      <c r="L2878" t="s">
        <v>18</v>
      </c>
      <c r="M2878" t="str">
        <f>"20200807"</f>
        <v>20200807</v>
      </c>
    </row>
    <row r="2879" spans="1:13" x14ac:dyDescent="0.25">
      <c r="A2879" t="str">
        <f>"00718508"</f>
        <v>00718508</v>
      </c>
      <c r="B2879" t="s">
        <v>3092</v>
      </c>
      <c r="C2879" t="s">
        <v>1175</v>
      </c>
      <c r="D2879" t="s">
        <v>15</v>
      </c>
      <c r="E2879" t="s">
        <v>26</v>
      </c>
      <c r="F2879" t="s">
        <v>17</v>
      </c>
      <c r="G2879" t="str">
        <f>"05"</f>
        <v>05</v>
      </c>
      <c r="H2879" t="str">
        <f>"3  "</f>
        <v xml:space="preserve">3  </v>
      </c>
      <c r="I2879" t="str">
        <f>"2020/09/17"</f>
        <v>2020/09/17</v>
      </c>
      <c r="J2879" t="str">
        <f>"503"</f>
        <v>503</v>
      </c>
      <c r="K2879" t="str">
        <f>"20220120"</f>
        <v>20220120</v>
      </c>
      <c r="L2879" t="s">
        <v>18</v>
      </c>
      <c r="M2879" t="str">
        <f>"20200915"</f>
        <v>20200915</v>
      </c>
    </row>
    <row r="2880" spans="1:13" x14ac:dyDescent="0.25">
      <c r="A2880" t="str">
        <f>"00182534"</f>
        <v>00182534</v>
      </c>
      <c r="B2880" t="s">
        <v>3115</v>
      </c>
      <c r="C2880" t="s">
        <v>55</v>
      </c>
      <c r="D2880" t="s">
        <v>47</v>
      </c>
      <c r="E2880" t="s">
        <v>16</v>
      </c>
      <c r="F2880" t="s">
        <v>17</v>
      </c>
      <c r="G2880" t="str">
        <f>"05"</f>
        <v>05</v>
      </c>
      <c r="H2880" t="str">
        <f>"1  "</f>
        <v xml:space="preserve">1  </v>
      </c>
      <c r="I2880" t="str">
        <f>"2020/08/06"</f>
        <v>2020/08/06</v>
      </c>
      <c r="J2880" t="str">
        <f>"510"</f>
        <v>510</v>
      </c>
      <c r="K2880" t="str">
        <f>"20210611"</f>
        <v>20210611</v>
      </c>
      <c r="L2880" t="s">
        <v>18</v>
      </c>
      <c r="M2880" t="str">
        <f>"20200721"</f>
        <v>20200721</v>
      </c>
    </row>
    <row r="2881" spans="1:13" x14ac:dyDescent="0.25">
      <c r="A2881" t="str">
        <f>"00227412"</f>
        <v>00227412</v>
      </c>
      <c r="B2881" t="s">
        <v>3170</v>
      </c>
      <c r="C2881" t="s">
        <v>346</v>
      </c>
      <c r="D2881" t="s">
        <v>21</v>
      </c>
      <c r="E2881" t="s">
        <v>16</v>
      </c>
      <c r="F2881" t="s">
        <v>17</v>
      </c>
      <c r="G2881" t="str">
        <f>"05"</f>
        <v>05</v>
      </c>
      <c r="H2881" t="str">
        <f>"3  "</f>
        <v xml:space="preserve">3  </v>
      </c>
      <c r="I2881" t="str">
        <f>"2020/09/10"</f>
        <v>2020/09/10</v>
      </c>
      <c r="J2881" t="str">
        <f>"502"</f>
        <v>502</v>
      </c>
      <c r="K2881" t="str">
        <f>"20240120"</f>
        <v>20240120</v>
      </c>
      <c r="L2881" t="s">
        <v>18</v>
      </c>
      <c r="M2881" t="str">
        <f>"20200619"</f>
        <v>20200619</v>
      </c>
    </row>
    <row r="2882" spans="1:13" x14ac:dyDescent="0.25">
      <c r="A2882" t="str">
        <f>"00250352"</f>
        <v>00250352</v>
      </c>
      <c r="B2882" t="s">
        <v>3179</v>
      </c>
      <c r="C2882" t="s">
        <v>1250</v>
      </c>
      <c r="D2882" t="s">
        <v>51</v>
      </c>
      <c r="E2882" t="s">
        <v>26</v>
      </c>
      <c r="F2882" t="s">
        <v>17</v>
      </c>
      <c r="G2882" t="str">
        <f>"05"</f>
        <v>05</v>
      </c>
      <c r="H2882" t="str">
        <f>"3  "</f>
        <v xml:space="preserve">3  </v>
      </c>
      <c r="I2882" t="str">
        <f>"2020/08/06"</f>
        <v>2020/08/06</v>
      </c>
      <c r="J2882" t="str">
        <f>"512"</f>
        <v>512</v>
      </c>
      <c r="K2882" t="str">
        <f>"20230612"</f>
        <v>20230612</v>
      </c>
      <c r="L2882" t="s">
        <v>18</v>
      </c>
      <c r="M2882" t="str">
        <f>"20200729"</f>
        <v>20200729</v>
      </c>
    </row>
    <row r="2883" spans="1:13" x14ac:dyDescent="0.25">
      <c r="A2883" t="str">
        <f>"00545891"</f>
        <v>00545891</v>
      </c>
      <c r="B2883" t="s">
        <v>3187</v>
      </c>
      <c r="C2883" t="s">
        <v>3188</v>
      </c>
      <c r="D2883" t="s">
        <v>121</v>
      </c>
      <c r="E2883" t="s">
        <v>26</v>
      </c>
      <c r="F2883" t="s">
        <v>17</v>
      </c>
      <c r="G2883" t="str">
        <f>"05"</f>
        <v>05</v>
      </c>
      <c r="H2883" t="str">
        <f>"3  "</f>
        <v xml:space="preserve">3  </v>
      </c>
      <c r="I2883" t="str">
        <f>"2020/09/17"</f>
        <v>2020/09/17</v>
      </c>
      <c r="J2883" t="str">
        <f>"510"</f>
        <v>510</v>
      </c>
      <c r="K2883" t="str">
        <f>"20220623"</f>
        <v>20220623</v>
      </c>
      <c r="L2883" t="s">
        <v>18</v>
      </c>
      <c r="M2883" t="str">
        <f>"20200904"</f>
        <v>20200904</v>
      </c>
    </row>
    <row r="2884" spans="1:13" x14ac:dyDescent="0.25">
      <c r="A2884" t="str">
        <f>"00504786"</f>
        <v>00504786</v>
      </c>
      <c r="B2884" t="s">
        <v>3261</v>
      </c>
      <c r="C2884" t="s">
        <v>626</v>
      </c>
      <c r="D2884" t="s">
        <v>80</v>
      </c>
      <c r="E2884" t="s">
        <v>26</v>
      </c>
      <c r="F2884" t="s">
        <v>17</v>
      </c>
      <c r="G2884" t="str">
        <f>"05"</f>
        <v>05</v>
      </c>
      <c r="H2884" t="str">
        <f>"3  "</f>
        <v xml:space="preserve">3  </v>
      </c>
      <c r="I2884" t="str">
        <f>"2020/02/20"</f>
        <v>2020/02/20</v>
      </c>
      <c r="J2884" t="str">
        <f>"510"</f>
        <v>510</v>
      </c>
      <c r="K2884" t="str">
        <f>"20320314"</f>
        <v>20320314</v>
      </c>
      <c r="L2884" t="s">
        <v>18</v>
      </c>
      <c r="M2884" t="str">
        <f>"20200218"</f>
        <v>20200218</v>
      </c>
    </row>
    <row r="2885" spans="1:13" x14ac:dyDescent="0.25">
      <c r="A2885" t="str">
        <f>"00601507"</f>
        <v>00601507</v>
      </c>
      <c r="B2885" t="s">
        <v>3266</v>
      </c>
      <c r="C2885" t="s">
        <v>59</v>
      </c>
      <c r="D2885" t="s">
        <v>25</v>
      </c>
      <c r="E2885" t="s">
        <v>16</v>
      </c>
      <c r="F2885" t="s">
        <v>17</v>
      </c>
      <c r="G2885" t="str">
        <f>"05"</f>
        <v>05</v>
      </c>
      <c r="H2885" t="str">
        <f>"3  "</f>
        <v xml:space="preserve">3  </v>
      </c>
      <c r="I2885" t="str">
        <f>"2020/09/17"</f>
        <v>2020/09/17</v>
      </c>
      <c r="J2885" t="str">
        <f>"510"</f>
        <v>510</v>
      </c>
      <c r="K2885" t="str">
        <f>"20300827"</f>
        <v>20300827</v>
      </c>
      <c r="L2885" t="str">
        <f>"20301226"</f>
        <v>20301226</v>
      </c>
      <c r="M2885" t="str">
        <f>"20200908"</f>
        <v>20200908</v>
      </c>
    </row>
    <row r="2886" spans="1:13" x14ac:dyDescent="0.25">
      <c r="A2886" t="str">
        <f>"00324157"</f>
        <v>00324157</v>
      </c>
      <c r="B2886" t="s">
        <v>3278</v>
      </c>
      <c r="C2886" t="s">
        <v>55</v>
      </c>
      <c r="D2886" t="s">
        <v>37</v>
      </c>
      <c r="E2886" t="s">
        <v>16</v>
      </c>
      <c r="F2886" t="s">
        <v>17</v>
      </c>
      <c r="G2886" t="str">
        <f>"05"</f>
        <v>05</v>
      </c>
      <c r="H2886" t="str">
        <f>"1  "</f>
        <v xml:space="preserve">1  </v>
      </c>
      <c r="I2886" t="str">
        <f>"2020/08/20"</f>
        <v>2020/08/20</v>
      </c>
      <c r="J2886" t="str">
        <f>"510"</f>
        <v>510</v>
      </c>
      <c r="K2886" t="str">
        <f>"20210528"</f>
        <v>20210528</v>
      </c>
      <c r="L2886" t="s">
        <v>18</v>
      </c>
      <c r="M2886" t="str">
        <f>"20200708"</f>
        <v>20200708</v>
      </c>
    </row>
    <row r="2887" spans="1:13" x14ac:dyDescent="0.25">
      <c r="A2887" t="str">
        <f>"00769688"</f>
        <v>00769688</v>
      </c>
      <c r="B2887" t="s">
        <v>3288</v>
      </c>
      <c r="C2887" t="s">
        <v>44</v>
      </c>
      <c r="D2887" t="s">
        <v>51</v>
      </c>
      <c r="E2887" t="s">
        <v>26</v>
      </c>
      <c r="F2887" t="s">
        <v>17</v>
      </c>
      <c r="G2887" t="str">
        <f>"05"</f>
        <v>05</v>
      </c>
      <c r="H2887" t="str">
        <f>"3  "</f>
        <v xml:space="preserve">3  </v>
      </c>
      <c r="I2887" t="str">
        <f>"2020/03/06"</f>
        <v>2020/03/06</v>
      </c>
      <c r="J2887" t="str">
        <f>"512"</f>
        <v>512</v>
      </c>
      <c r="K2887" t="str">
        <f>"20210809"</f>
        <v>20210809</v>
      </c>
      <c r="L2887" t="s">
        <v>18</v>
      </c>
      <c r="M2887" t="str">
        <f>"20191113"</f>
        <v>20191113</v>
      </c>
    </row>
    <row r="2888" spans="1:13" x14ac:dyDescent="0.25">
      <c r="A2888" t="str">
        <f>"00693460"</f>
        <v>00693460</v>
      </c>
      <c r="B2888" t="s">
        <v>3304</v>
      </c>
      <c r="C2888" t="s">
        <v>3306</v>
      </c>
      <c r="D2888" t="s">
        <v>15</v>
      </c>
      <c r="E2888" t="s">
        <v>16</v>
      </c>
      <c r="F2888" t="s">
        <v>17</v>
      </c>
      <c r="G2888" t="str">
        <f>"05"</f>
        <v>05</v>
      </c>
      <c r="H2888" t="str">
        <f>"3  "</f>
        <v xml:space="preserve">3  </v>
      </c>
      <c r="I2888" t="str">
        <f>"2020/09/17"</f>
        <v>2020/09/17</v>
      </c>
      <c r="J2888" t="str">
        <f>"510"</f>
        <v>510</v>
      </c>
      <c r="K2888" t="str">
        <f>"20231102"</f>
        <v>20231102</v>
      </c>
      <c r="L2888" t="s">
        <v>18</v>
      </c>
      <c r="M2888" t="str">
        <f>"20200916"</f>
        <v>20200916</v>
      </c>
    </row>
    <row r="2889" spans="1:13" x14ac:dyDescent="0.25">
      <c r="A2889" t="str">
        <f>"00596182"</f>
        <v>00596182</v>
      </c>
      <c r="B2889" t="s">
        <v>3395</v>
      </c>
      <c r="C2889" t="s">
        <v>1955</v>
      </c>
      <c r="D2889" t="s">
        <v>21</v>
      </c>
      <c r="E2889" t="s">
        <v>16</v>
      </c>
      <c r="F2889" t="s">
        <v>17</v>
      </c>
      <c r="G2889" t="str">
        <f>"05"</f>
        <v>05</v>
      </c>
      <c r="H2889" t="str">
        <f>"1  "</f>
        <v xml:space="preserve">1  </v>
      </c>
      <c r="I2889" t="str">
        <f>"2020/09/03"</f>
        <v>2020/09/03</v>
      </c>
      <c r="J2889" t="str">
        <f>"503"</f>
        <v>503</v>
      </c>
      <c r="K2889" t="str">
        <f>"20210731"</f>
        <v>20210731</v>
      </c>
      <c r="L2889" t="s">
        <v>18</v>
      </c>
      <c r="M2889" t="str">
        <f>"20200825"</f>
        <v>20200825</v>
      </c>
    </row>
    <row r="2890" spans="1:13" x14ac:dyDescent="0.25">
      <c r="A2890" t="str">
        <f>"00361433"</f>
        <v>00361433</v>
      </c>
      <c r="B2890" t="s">
        <v>3450</v>
      </c>
      <c r="C2890" t="s">
        <v>122</v>
      </c>
      <c r="D2890" t="s">
        <v>25</v>
      </c>
      <c r="E2890" t="s">
        <v>26</v>
      </c>
      <c r="F2890" t="s">
        <v>17</v>
      </c>
      <c r="G2890" t="str">
        <f>"05"</f>
        <v>05</v>
      </c>
      <c r="H2890" t="str">
        <f>"1  "</f>
        <v xml:space="preserve">1  </v>
      </c>
      <c r="I2890" t="str">
        <f>"2020/09/10"</f>
        <v>2020/09/10</v>
      </c>
      <c r="J2890" t="str">
        <f>"502"</f>
        <v>502</v>
      </c>
      <c r="K2890" t="str">
        <f>"20210730"</f>
        <v>20210730</v>
      </c>
      <c r="L2890" t="s">
        <v>18</v>
      </c>
      <c r="M2890" t="str">
        <f>"20200905"</f>
        <v>20200905</v>
      </c>
    </row>
    <row r="2891" spans="1:13" x14ac:dyDescent="0.25">
      <c r="A2891" t="str">
        <f>"00523242"</f>
        <v>00523242</v>
      </c>
      <c r="B2891" t="s">
        <v>3450</v>
      </c>
      <c r="C2891" t="s">
        <v>398</v>
      </c>
      <c r="D2891" t="s">
        <v>53</v>
      </c>
      <c r="E2891" t="s">
        <v>26</v>
      </c>
      <c r="F2891" t="s">
        <v>17</v>
      </c>
      <c r="G2891" t="str">
        <f>"05"</f>
        <v>05</v>
      </c>
      <c r="H2891" t="str">
        <f>"1  "</f>
        <v xml:space="preserve">1  </v>
      </c>
      <c r="I2891" t="str">
        <f>"2019/06/24"</f>
        <v>2019/06/24</v>
      </c>
      <c r="J2891" t="str">
        <f>"110"</f>
        <v>110</v>
      </c>
      <c r="K2891" t="str">
        <f>"20200623"</f>
        <v>20200623</v>
      </c>
      <c r="L2891" t="s">
        <v>18</v>
      </c>
      <c r="M2891" t="str">
        <f>"20190624"</f>
        <v>20190624</v>
      </c>
    </row>
    <row r="2892" spans="1:13" x14ac:dyDescent="0.25">
      <c r="A2892" t="str">
        <f>"00783806"</f>
        <v>00783806</v>
      </c>
      <c r="B2892" t="s">
        <v>3450</v>
      </c>
      <c r="C2892" t="s">
        <v>3459</v>
      </c>
      <c r="D2892" t="s">
        <v>40</v>
      </c>
      <c r="E2892" t="s">
        <v>26</v>
      </c>
      <c r="F2892" t="s">
        <v>17</v>
      </c>
      <c r="G2892" t="str">
        <f>"05"</f>
        <v>05</v>
      </c>
      <c r="H2892" t="str">
        <f>"1  "</f>
        <v xml:space="preserve">1  </v>
      </c>
      <c r="I2892" t="str">
        <f>"2020/09/03"</f>
        <v>2020/09/03</v>
      </c>
      <c r="J2892" t="str">
        <f>"503"</f>
        <v>503</v>
      </c>
      <c r="K2892" t="str">
        <f>"20210721"</f>
        <v>20210721</v>
      </c>
      <c r="L2892" t="s">
        <v>18</v>
      </c>
      <c r="M2892" t="str">
        <f>"20200901"</f>
        <v>20200901</v>
      </c>
    </row>
    <row r="2893" spans="1:13" x14ac:dyDescent="0.25">
      <c r="A2893" t="str">
        <f>"00568722"</f>
        <v>00568722</v>
      </c>
      <c r="B2893" t="s">
        <v>3478</v>
      </c>
      <c r="C2893" t="s">
        <v>369</v>
      </c>
      <c r="D2893" t="s">
        <v>21</v>
      </c>
      <c r="E2893" t="s">
        <v>16</v>
      </c>
      <c r="F2893" t="s">
        <v>17</v>
      </c>
      <c r="G2893" t="str">
        <f>"05"</f>
        <v>05</v>
      </c>
      <c r="H2893" t="str">
        <f>"3  "</f>
        <v xml:space="preserve">3  </v>
      </c>
      <c r="I2893" t="str">
        <f>"2020/08/20"</f>
        <v>2020/08/20</v>
      </c>
      <c r="J2893" t="str">
        <f>"503"</f>
        <v>503</v>
      </c>
      <c r="K2893" t="str">
        <f>"20270114"</f>
        <v>20270114</v>
      </c>
      <c r="L2893" t="s">
        <v>18</v>
      </c>
      <c r="M2893" t="str">
        <f>"20200715"</f>
        <v>20200715</v>
      </c>
    </row>
    <row r="2894" spans="1:13" x14ac:dyDescent="0.25">
      <c r="A2894" t="str">
        <f>"00485660"</f>
        <v>00485660</v>
      </c>
      <c r="B2894" t="s">
        <v>3531</v>
      </c>
      <c r="C2894" t="s">
        <v>140</v>
      </c>
      <c r="D2894" t="s">
        <v>61</v>
      </c>
      <c r="E2894" t="s">
        <v>16</v>
      </c>
      <c r="F2894" t="s">
        <v>17</v>
      </c>
      <c r="G2894" t="str">
        <f>"05"</f>
        <v>05</v>
      </c>
      <c r="H2894" t="str">
        <f>"1  "</f>
        <v xml:space="preserve">1  </v>
      </c>
      <c r="I2894" t="str">
        <f>"2020/09/03"</f>
        <v>2020/09/03</v>
      </c>
      <c r="J2894" t="str">
        <f>"503"</f>
        <v>503</v>
      </c>
      <c r="K2894" t="str">
        <f>"20210721"</f>
        <v>20210721</v>
      </c>
      <c r="L2894" t="s">
        <v>18</v>
      </c>
      <c r="M2894" t="str">
        <f>"20200901"</f>
        <v>20200901</v>
      </c>
    </row>
    <row r="2895" spans="1:13" x14ac:dyDescent="0.25">
      <c r="A2895" t="str">
        <f>"00615320"</f>
        <v>00615320</v>
      </c>
      <c r="B2895" t="s">
        <v>3565</v>
      </c>
      <c r="C2895" t="s">
        <v>398</v>
      </c>
      <c r="D2895" t="s">
        <v>73</v>
      </c>
      <c r="E2895" t="s">
        <v>16</v>
      </c>
      <c r="F2895" t="s">
        <v>17</v>
      </c>
      <c r="G2895" t="str">
        <f>"05"</f>
        <v>05</v>
      </c>
      <c r="H2895" t="str">
        <f>"3  "</f>
        <v xml:space="preserve">3  </v>
      </c>
      <c r="I2895" t="str">
        <f>"2020/09/10"</f>
        <v>2020/09/10</v>
      </c>
      <c r="J2895" t="str">
        <f>"502"</f>
        <v>502</v>
      </c>
      <c r="K2895" t="str">
        <f>"20210919"</f>
        <v>20210919</v>
      </c>
      <c r="L2895" t="s">
        <v>18</v>
      </c>
      <c r="M2895" t="str">
        <f>"20200306"</f>
        <v>20200306</v>
      </c>
    </row>
    <row r="2896" spans="1:13" x14ac:dyDescent="0.25">
      <c r="A2896" t="str">
        <f>"00469096"</f>
        <v>00469096</v>
      </c>
      <c r="B2896" t="s">
        <v>3567</v>
      </c>
      <c r="C2896" t="s">
        <v>1175</v>
      </c>
      <c r="D2896" t="s">
        <v>91</v>
      </c>
      <c r="E2896" t="s">
        <v>16</v>
      </c>
      <c r="F2896" t="s">
        <v>17</v>
      </c>
      <c r="G2896" t="str">
        <f>"05"</f>
        <v>05</v>
      </c>
      <c r="H2896" t="str">
        <f>"1  "</f>
        <v xml:space="preserve">1  </v>
      </c>
      <c r="I2896" t="str">
        <f>"2020/09/17"</f>
        <v>2020/09/17</v>
      </c>
      <c r="J2896" t="str">
        <f>"512"</f>
        <v>512</v>
      </c>
      <c r="K2896" t="str">
        <f>"20210627"</f>
        <v>20210627</v>
      </c>
      <c r="L2896" t="s">
        <v>18</v>
      </c>
      <c r="M2896" t="str">
        <f>"20200722"</f>
        <v>20200722</v>
      </c>
    </row>
    <row r="2897" spans="1:13" x14ac:dyDescent="0.25">
      <c r="A2897" t="str">
        <f>"00675739"</f>
        <v>00675739</v>
      </c>
      <c r="B2897" t="s">
        <v>3573</v>
      </c>
      <c r="C2897" t="s">
        <v>3574</v>
      </c>
      <c r="D2897" t="s">
        <v>51</v>
      </c>
      <c r="E2897" t="s">
        <v>26</v>
      </c>
      <c r="F2897" t="s">
        <v>17</v>
      </c>
      <c r="G2897" t="str">
        <f>"05"</f>
        <v>05</v>
      </c>
      <c r="H2897" t="str">
        <f>"1  "</f>
        <v xml:space="preserve">1  </v>
      </c>
      <c r="I2897" t="str">
        <f>"2020/09/03"</f>
        <v>2020/09/03</v>
      </c>
      <c r="J2897" t="str">
        <f>"510"</f>
        <v>510</v>
      </c>
      <c r="K2897" t="str">
        <f>"20210716"</f>
        <v>20210716</v>
      </c>
      <c r="L2897" t="s">
        <v>18</v>
      </c>
      <c r="M2897" t="str">
        <f>"20200826"</f>
        <v>20200826</v>
      </c>
    </row>
    <row r="2898" spans="1:13" x14ac:dyDescent="0.25">
      <c r="A2898" t="str">
        <f>"00689854"</f>
        <v>00689854</v>
      </c>
      <c r="B2898" t="s">
        <v>3582</v>
      </c>
      <c r="C2898" t="s">
        <v>14</v>
      </c>
      <c r="D2898" t="s">
        <v>91</v>
      </c>
      <c r="E2898" t="s">
        <v>16</v>
      </c>
      <c r="F2898" t="s">
        <v>17</v>
      </c>
      <c r="G2898" t="str">
        <f>"05"</f>
        <v>05</v>
      </c>
      <c r="H2898" t="str">
        <f>"1  "</f>
        <v xml:space="preserve">1  </v>
      </c>
      <c r="I2898" t="str">
        <f>"2020/09/17"</f>
        <v>2020/09/17</v>
      </c>
      <c r="J2898" t="str">
        <f>"503"</f>
        <v>503</v>
      </c>
      <c r="K2898" t="str">
        <f>"20210729"</f>
        <v>20210729</v>
      </c>
      <c r="L2898" t="s">
        <v>18</v>
      </c>
      <c r="M2898" t="str">
        <f>"20200908"</f>
        <v>20200908</v>
      </c>
    </row>
    <row r="2899" spans="1:13" x14ac:dyDescent="0.25">
      <c r="A2899" t="str">
        <f>"00318159"</f>
        <v>00318159</v>
      </c>
      <c r="B2899" t="s">
        <v>3695</v>
      </c>
      <c r="C2899" t="s">
        <v>1850</v>
      </c>
      <c r="D2899" t="s">
        <v>21</v>
      </c>
      <c r="E2899" t="s">
        <v>26</v>
      </c>
      <c r="F2899" t="s">
        <v>17</v>
      </c>
      <c r="G2899" t="str">
        <f>"05"</f>
        <v>05</v>
      </c>
      <c r="H2899" t="str">
        <f>"3  "</f>
        <v xml:space="preserve">3  </v>
      </c>
      <c r="I2899" t="str">
        <f>"2020/03/06"</f>
        <v>2020/03/06</v>
      </c>
      <c r="J2899" t="str">
        <f>"503"</f>
        <v>503</v>
      </c>
      <c r="K2899" t="str">
        <f>"20211211"</f>
        <v>20211211</v>
      </c>
      <c r="L2899" t="s">
        <v>18</v>
      </c>
      <c r="M2899" t="str">
        <f>"20190107"</f>
        <v>20190107</v>
      </c>
    </row>
    <row r="2900" spans="1:13" x14ac:dyDescent="0.25">
      <c r="A2900" t="str">
        <f>"00870183"</f>
        <v>00870183</v>
      </c>
      <c r="B2900" t="s">
        <v>3785</v>
      </c>
      <c r="C2900" t="s">
        <v>3786</v>
      </c>
      <c r="D2900" t="s">
        <v>25</v>
      </c>
      <c r="E2900" t="s">
        <v>16</v>
      </c>
      <c r="F2900" t="s">
        <v>17</v>
      </c>
      <c r="G2900" t="str">
        <f>"05"</f>
        <v>05</v>
      </c>
      <c r="H2900" t="str">
        <f>"1  "</f>
        <v xml:space="preserve">1  </v>
      </c>
      <c r="I2900" t="str">
        <f>"2020/09/10"</f>
        <v>2020/09/10</v>
      </c>
      <c r="J2900" t="str">
        <f>"502"</f>
        <v>502</v>
      </c>
      <c r="K2900" t="str">
        <f>"20210204"</f>
        <v>20210204</v>
      </c>
      <c r="L2900" t="s">
        <v>18</v>
      </c>
      <c r="M2900" t="str">
        <f>"20200320"</f>
        <v>20200320</v>
      </c>
    </row>
    <row r="2901" spans="1:13" x14ac:dyDescent="0.25">
      <c r="A2901" t="str">
        <f>"00432503"</f>
        <v>00432503</v>
      </c>
      <c r="B2901" t="s">
        <v>3801</v>
      </c>
      <c r="C2901" t="s">
        <v>246</v>
      </c>
      <c r="D2901" t="s">
        <v>25</v>
      </c>
      <c r="E2901" t="s">
        <v>16</v>
      </c>
      <c r="F2901" t="s">
        <v>17</v>
      </c>
      <c r="G2901" t="str">
        <f>"05"</f>
        <v>05</v>
      </c>
      <c r="H2901" t="str">
        <f>"1  "</f>
        <v xml:space="preserve">1  </v>
      </c>
      <c r="I2901" t="str">
        <f>"2020/09/10"</f>
        <v>2020/09/10</v>
      </c>
      <c r="J2901" t="str">
        <f>"502"</f>
        <v>502</v>
      </c>
      <c r="K2901" t="str">
        <f>"20201204"</f>
        <v>20201204</v>
      </c>
      <c r="L2901" t="s">
        <v>18</v>
      </c>
      <c r="M2901" t="str">
        <f>"20200123"</f>
        <v>20200123</v>
      </c>
    </row>
    <row r="2902" spans="1:13" x14ac:dyDescent="0.25">
      <c r="A2902" t="str">
        <f>"00456624"</f>
        <v>00456624</v>
      </c>
      <c r="B2902" t="s">
        <v>3847</v>
      </c>
      <c r="C2902" t="s">
        <v>3849</v>
      </c>
      <c r="D2902" t="s">
        <v>215</v>
      </c>
      <c r="E2902" t="s">
        <v>26</v>
      </c>
      <c r="F2902" t="s">
        <v>17</v>
      </c>
      <c r="G2902" t="str">
        <f>"05"</f>
        <v>05</v>
      </c>
      <c r="H2902" t="str">
        <f>"3  "</f>
        <v xml:space="preserve">3  </v>
      </c>
      <c r="I2902" t="str">
        <f>"2020/08/06"</f>
        <v>2020/08/06</v>
      </c>
      <c r="J2902" t="str">
        <f>"502"</f>
        <v>502</v>
      </c>
      <c r="K2902" t="str">
        <f>"20250116"</f>
        <v>20250116</v>
      </c>
      <c r="L2902" t="s">
        <v>18</v>
      </c>
      <c r="M2902" t="str">
        <f>"20200716"</f>
        <v>20200716</v>
      </c>
    </row>
    <row r="2903" spans="1:13" x14ac:dyDescent="0.25">
      <c r="A2903" t="str">
        <f>"00810978"</f>
        <v>00810978</v>
      </c>
      <c r="B2903" t="s">
        <v>3888</v>
      </c>
      <c r="C2903" t="s">
        <v>555</v>
      </c>
      <c r="D2903" t="s">
        <v>25</v>
      </c>
      <c r="E2903" t="s">
        <v>16</v>
      </c>
      <c r="F2903" t="s">
        <v>17</v>
      </c>
      <c r="G2903" t="str">
        <f>"05"</f>
        <v>05</v>
      </c>
      <c r="H2903" t="str">
        <f>"1  "</f>
        <v xml:space="preserve">1  </v>
      </c>
      <c r="I2903" t="str">
        <f>"2020/04/02"</f>
        <v>2020/04/02</v>
      </c>
      <c r="J2903" t="str">
        <f>"512"</f>
        <v>512</v>
      </c>
      <c r="K2903" t="str">
        <f>"20210126"</f>
        <v>20210126</v>
      </c>
      <c r="L2903" t="s">
        <v>18</v>
      </c>
      <c r="M2903" t="str">
        <f>"20200315"</f>
        <v>20200315</v>
      </c>
    </row>
    <row r="2904" spans="1:13" x14ac:dyDescent="0.25">
      <c r="A2904" t="str">
        <f>"00699897"</f>
        <v>00699897</v>
      </c>
      <c r="B2904" t="s">
        <v>3965</v>
      </c>
      <c r="C2904" t="s">
        <v>3966</v>
      </c>
      <c r="D2904" t="s">
        <v>15</v>
      </c>
      <c r="E2904" t="s">
        <v>26</v>
      </c>
      <c r="F2904" t="s">
        <v>17</v>
      </c>
      <c r="G2904" t="str">
        <f>"05"</f>
        <v>05</v>
      </c>
      <c r="H2904" t="str">
        <f>"1  "</f>
        <v xml:space="preserve">1  </v>
      </c>
      <c r="I2904" t="str">
        <f>"2020/04/09"</f>
        <v>2020/04/09</v>
      </c>
      <c r="J2904" t="str">
        <f>"503"</f>
        <v>503</v>
      </c>
      <c r="K2904" t="str">
        <f>"20201209"</f>
        <v>20201209</v>
      </c>
      <c r="L2904" t="s">
        <v>18</v>
      </c>
      <c r="M2904" t="str">
        <f>"20200124"</f>
        <v>20200124</v>
      </c>
    </row>
    <row r="2905" spans="1:13" x14ac:dyDescent="0.25">
      <c r="A2905" t="str">
        <f>"00331152"</f>
        <v>00331152</v>
      </c>
      <c r="B2905" t="s">
        <v>3972</v>
      </c>
      <c r="C2905" t="s">
        <v>55</v>
      </c>
      <c r="D2905" t="s">
        <v>16</v>
      </c>
      <c r="E2905" t="s">
        <v>16</v>
      </c>
      <c r="F2905" t="s">
        <v>17</v>
      </c>
      <c r="G2905" t="str">
        <f>"05"</f>
        <v>05</v>
      </c>
      <c r="H2905" t="str">
        <f>"1  "</f>
        <v xml:space="preserve">1  </v>
      </c>
      <c r="I2905" t="str">
        <f>"2020/09/17"</f>
        <v>2020/09/17</v>
      </c>
      <c r="J2905" t="str">
        <f>"512"</f>
        <v>512</v>
      </c>
      <c r="K2905" t="str">
        <f>"20210817"</f>
        <v>20210817</v>
      </c>
      <c r="L2905" t="s">
        <v>18</v>
      </c>
      <c r="M2905" t="str">
        <f>"20200911"</f>
        <v>20200911</v>
      </c>
    </row>
    <row r="2906" spans="1:13" x14ac:dyDescent="0.25">
      <c r="A2906" t="str">
        <f>"00266504"</f>
        <v>00266504</v>
      </c>
      <c r="B2906" t="s">
        <v>4051</v>
      </c>
      <c r="C2906" t="s">
        <v>68</v>
      </c>
      <c r="D2906" t="s">
        <v>21</v>
      </c>
      <c r="E2906" t="s">
        <v>26</v>
      </c>
      <c r="F2906" t="s">
        <v>17</v>
      </c>
      <c r="G2906" t="str">
        <f>"05"</f>
        <v>05</v>
      </c>
      <c r="H2906" t="str">
        <f>"3  "</f>
        <v xml:space="preserve">3  </v>
      </c>
      <c r="I2906" t="str">
        <f>"2020/02/11"</f>
        <v>2020/02/11</v>
      </c>
      <c r="J2906" t="str">
        <f>"503"</f>
        <v>503</v>
      </c>
      <c r="K2906" t="str">
        <f>"20220207"</f>
        <v>20220207</v>
      </c>
      <c r="L2906" t="s">
        <v>18</v>
      </c>
      <c r="M2906" t="str">
        <f>"20180918"</f>
        <v>20180918</v>
      </c>
    </row>
    <row r="2907" spans="1:13" x14ac:dyDescent="0.25">
      <c r="A2907" t="str">
        <f>"00362790"</f>
        <v>00362790</v>
      </c>
      <c r="B2907" t="s">
        <v>4065</v>
      </c>
      <c r="C2907" t="s">
        <v>640</v>
      </c>
      <c r="D2907" t="s">
        <v>21</v>
      </c>
      <c r="E2907" t="s">
        <v>16</v>
      </c>
      <c r="F2907" t="s">
        <v>17</v>
      </c>
      <c r="G2907" t="str">
        <f>"05"</f>
        <v>05</v>
      </c>
      <c r="H2907" t="str">
        <f>"3  "</f>
        <v xml:space="preserve">3  </v>
      </c>
      <c r="I2907" t="str">
        <f>"2020/04/23"</f>
        <v>2020/04/23</v>
      </c>
      <c r="J2907" t="str">
        <f>"512"</f>
        <v>512</v>
      </c>
      <c r="K2907" t="str">
        <f>"20220110"</f>
        <v>20220110</v>
      </c>
      <c r="L2907" t="s">
        <v>18</v>
      </c>
      <c r="M2907" t="str">
        <f>"20200402"</f>
        <v>20200402</v>
      </c>
    </row>
    <row r="2908" spans="1:13" x14ac:dyDescent="0.25">
      <c r="A2908" t="str">
        <f>"00111790"</f>
        <v>00111790</v>
      </c>
      <c r="B2908" t="s">
        <v>1879</v>
      </c>
      <c r="C2908" t="s">
        <v>169</v>
      </c>
      <c r="D2908" t="s">
        <v>61</v>
      </c>
      <c r="E2908" t="s">
        <v>16</v>
      </c>
      <c r="F2908" t="s">
        <v>17</v>
      </c>
      <c r="G2908" t="str">
        <f>"08"</f>
        <v>08</v>
      </c>
      <c r="H2908" t="str">
        <f>"7  "</f>
        <v xml:space="preserve">7  </v>
      </c>
      <c r="I2908" t="str">
        <f>"1980/03/25"</f>
        <v>1980/03/25</v>
      </c>
      <c r="J2908" t="str">
        <f>"994"</f>
        <v>994</v>
      </c>
      <c r="K2908" t="s">
        <v>18</v>
      </c>
      <c r="L2908" t="str">
        <f>"19881023"</f>
        <v>19881023</v>
      </c>
      <c r="M2908" t="str">
        <f>"19720309"</f>
        <v>19720309</v>
      </c>
    </row>
    <row r="2909" spans="1:13" x14ac:dyDescent="0.25">
      <c r="A2909" t="str">
        <f>"00230663"</f>
        <v>00230663</v>
      </c>
      <c r="B2909" t="s">
        <v>43</v>
      </c>
      <c r="C2909" t="s">
        <v>44</v>
      </c>
      <c r="D2909" t="s">
        <v>45</v>
      </c>
      <c r="E2909" t="s">
        <v>16</v>
      </c>
      <c r="F2909" t="s">
        <v>17</v>
      </c>
      <c r="G2909" t="str">
        <f>"10"</f>
        <v>10</v>
      </c>
      <c r="H2909" t="str">
        <f>"0  "</f>
        <v xml:space="preserve">0  </v>
      </c>
      <c r="I2909" t="str">
        <f>"2020/08/25"</f>
        <v>2020/08/25</v>
      </c>
      <c r="J2909" t="str">
        <f>"420"</f>
        <v>420</v>
      </c>
      <c r="K2909" t="s">
        <v>18</v>
      </c>
      <c r="L2909" t="s">
        <v>18</v>
      </c>
      <c r="M2909" t="s">
        <v>18</v>
      </c>
    </row>
    <row r="2910" spans="1:13" x14ac:dyDescent="0.25">
      <c r="A2910" t="str">
        <f>"00275773"</f>
        <v>00275773</v>
      </c>
      <c r="B2910" t="s">
        <v>46</v>
      </c>
      <c r="C2910" t="s">
        <v>48</v>
      </c>
      <c r="D2910" t="s">
        <v>25</v>
      </c>
      <c r="E2910" t="s">
        <v>16</v>
      </c>
      <c r="F2910" t="s">
        <v>17</v>
      </c>
      <c r="G2910" t="str">
        <f>"10"</f>
        <v>10</v>
      </c>
      <c r="H2910" t="str">
        <f>"0  "</f>
        <v xml:space="preserve">0  </v>
      </c>
      <c r="I2910" t="str">
        <f>"2020/03/11"</f>
        <v>2020/03/11</v>
      </c>
      <c r="J2910" t="str">
        <f>"420"</f>
        <v>420</v>
      </c>
      <c r="K2910" t="s">
        <v>18</v>
      </c>
      <c r="L2910" t="s">
        <v>18</v>
      </c>
      <c r="M2910" t="s">
        <v>18</v>
      </c>
    </row>
    <row r="2911" spans="1:13" x14ac:dyDescent="0.25">
      <c r="A2911" t="str">
        <f>"00385715"</f>
        <v>00385715</v>
      </c>
      <c r="B2911" t="s">
        <v>54</v>
      </c>
      <c r="C2911" t="s">
        <v>55</v>
      </c>
      <c r="D2911" t="s">
        <v>51</v>
      </c>
      <c r="E2911" t="s">
        <v>26</v>
      </c>
      <c r="F2911" t="s">
        <v>17</v>
      </c>
      <c r="G2911" t="str">
        <f>"10"</f>
        <v>10</v>
      </c>
      <c r="H2911" t="str">
        <f>"3  "</f>
        <v xml:space="preserve">3  </v>
      </c>
      <c r="I2911" t="str">
        <f>"2020/09/16"</f>
        <v>2020/09/16</v>
      </c>
      <c r="J2911" t="str">
        <f>"502"</f>
        <v>502</v>
      </c>
      <c r="K2911" t="str">
        <f>"20211005"</f>
        <v>20211005</v>
      </c>
      <c r="L2911" t="s">
        <v>18</v>
      </c>
      <c r="M2911" t="str">
        <f>"20130821"</f>
        <v>20130821</v>
      </c>
    </row>
    <row r="2912" spans="1:13" x14ac:dyDescent="0.25">
      <c r="A2912" t="str">
        <f>"00463936"</f>
        <v>00463936</v>
      </c>
      <c r="B2912" t="s">
        <v>56</v>
      </c>
      <c r="C2912" t="s">
        <v>58</v>
      </c>
      <c r="D2912" t="s">
        <v>51</v>
      </c>
      <c r="E2912" t="s">
        <v>26</v>
      </c>
      <c r="F2912" t="s">
        <v>17</v>
      </c>
      <c r="G2912" t="str">
        <f>"10"</f>
        <v>10</v>
      </c>
      <c r="H2912" t="str">
        <f>"1  "</f>
        <v xml:space="preserve">1  </v>
      </c>
      <c r="I2912" t="str">
        <f>"2020/08/05"</f>
        <v>2020/08/05</v>
      </c>
      <c r="J2912" t="str">
        <f>"120"</f>
        <v>120</v>
      </c>
      <c r="K2912" t="str">
        <f>"20201018"</f>
        <v>20201018</v>
      </c>
      <c r="L2912" t="s">
        <v>18</v>
      </c>
      <c r="M2912" t="str">
        <f>"20200728"</f>
        <v>20200728</v>
      </c>
    </row>
    <row r="2913" spans="1:13" x14ac:dyDescent="0.25">
      <c r="A2913" t="str">
        <f>"00922235"</f>
        <v>00922235</v>
      </c>
      <c r="B2913" t="s">
        <v>63</v>
      </c>
      <c r="C2913" t="s">
        <v>64</v>
      </c>
      <c r="D2913" t="s">
        <v>25</v>
      </c>
      <c r="E2913" t="s">
        <v>16</v>
      </c>
      <c r="F2913" t="s">
        <v>17</v>
      </c>
      <c r="G2913" t="str">
        <f>"10"</f>
        <v>10</v>
      </c>
      <c r="H2913" t="str">
        <f>"0  "</f>
        <v xml:space="preserve">0  </v>
      </c>
      <c r="I2913" t="str">
        <f>"2020/08/06"</f>
        <v>2020/08/06</v>
      </c>
      <c r="J2913" t="str">
        <f>"420"</f>
        <v>420</v>
      </c>
      <c r="K2913" t="s">
        <v>18</v>
      </c>
      <c r="L2913" t="s">
        <v>18</v>
      </c>
      <c r="M2913" t="s">
        <v>18</v>
      </c>
    </row>
    <row r="2914" spans="1:13" x14ac:dyDescent="0.25">
      <c r="A2914" t="str">
        <f>"00560001"</f>
        <v>00560001</v>
      </c>
      <c r="B2914" t="s">
        <v>65</v>
      </c>
      <c r="C2914" t="s">
        <v>66</v>
      </c>
      <c r="D2914" t="s">
        <v>25</v>
      </c>
      <c r="E2914" t="s">
        <v>16</v>
      </c>
      <c r="F2914" t="s">
        <v>17</v>
      </c>
      <c r="G2914" t="str">
        <f>"10"</f>
        <v>10</v>
      </c>
      <c r="H2914" t="str">
        <f>"3  "</f>
        <v xml:space="preserve">3  </v>
      </c>
      <c r="I2914" t="str">
        <f>"2019/08/23"</f>
        <v>2019/08/23</v>
      </c>
      <c r="J2914" t="str">
        <f>"110"</f>
        <v>110</v>
      </c>
      <c r="K2914" t="str">
        <f>"20251110"</f>
        <v>20251110</v>
      </c>
      <c r="L2914" t="s">
        <v>18</v>
      </c>
      <c r="M2914" t="str">
        <f>"20181108"</f>
        <v>20181108</v>
      </c>
    </row>
    <row r="2915" spans="1:13" x14ac:dyDescent="0.25">
      <c r="A2915" t="str">
        <f>"00338755"</f>
        <v>00338755</v>
      </c>
      <c r="B2915" t="s">
        <v>69</v>
      </c>
      <c r="C2915" t="s">
        <v>72</v>
      </c>
      <c r="D2915" t="s">
        <v>73</v>
      </c>
      <c r="E2915" t="s">
        <v>16</v>
      </c>
      <c r="F2915" t="s">
        <v>17</v>
      </c>
      <c r="G2915" t="str">
        <f>"10"</f>
        <v>10</v>
      </c>
      <c r="H2915" t="str">
        <f>"3  "</f>
        <v xml:space="preserve">3  </v>
      </c>
      <c r="I2915" t="str">
        <f>"2016/09/22"</f>
        <v>2016/09/22</v>
      </c>
      <c r="J2915" t="str">
        <f>"110"</f>
        <v>110</v>
      </c>
      <c r="K2915" t="str">
        <f>"20201219"</f>
        <v>20201219</v>
      </c>
      <c r="L2915" t="s">
        <v>18</v>
      </c>
      <c r="M2915" t="str">
        <f>"20140530"</f>
        <v>20140530</v>
      </c>
    </row>
    <row r="2916" spans="1:13" x14ac:dyDescent="0.25">
      <c r="A2916" t="str">
        <f>"00657562"</f>
        <v>00657562</v>
      </c>
      <c r="B2916" t="s">
        <v>69</v>
      </c>
      <c r="C2916" t="s">
        <v>75</v>
      </c>
      <c r="D2916" t="s">
        <v>25</v>
      </c>
      <c r="E2916" t="s">
        <v>26</v>
      </c>
      <c r="F2916" t="s">
        <v>17</v>
      </c>
      <c r="G2916" t="str">
        <f>"10"</f>
        <v>10</v>
      </c>
      <c r="H2916" t="str">
        <f>"3  "</f>
        <v xml:space="preserve">3  </v>
      </c>
      <c r="I2916" t="str">
        <f>"2020/02/14"</f>
        <v>2020/02/14</v>
      </c>
      <c r="J2916" t="str">
        <f>"120"</f>
        <v>120</v>
      </c>
      <c r="K2916" t="str">
        <f>"20320928"</f>
        <v>20320928</v>
      </c>
      <c r="L2916" t="s">
        <v>18</v>
      </c>
      <c r="M2916" t="str">
        <f>"20190311"</f>
        <v>20190311</v>
      </c>
    </row>
    <row r="2917" spans="1:13" x14ac:dyDescent="0.25">
      <c r="A2917" t="str">
        <f>"00720893"</f>
        <v>00720893</v>
      </c>
      <c r="B2917" t="s">
        <v>84</v>
      </c>
      <c r="C2917" t="s">
        <v>85</v>
      </c>
      <c r="D2917" t="s">
        <v>25</v>
      </c>
      <c r="E2917" t="s">
        <v>26</v>
      </c>
      <c r="F2917" t="s">
        <v>17</v>
      </c>
      <c r="G2917" t="str">
        <f>"10"</f>
        <v>10</v>
      </c>
      <c r="H2917" t="str">
        <f>"3  "</f>
        <v xml:space="preserve">3  </v>
      </c>
      <c r="I2917" t="str">
        <f>"2017/10/25"</f>
        <v>2017/10/25</v>
      </c>
      <c r="J2917" t="str">
        <f>"110"</f>
        <v>110</v>
      </c>
      <c r="K2917" t="str">
        <f>"20220110"</f>
        <v>20220110</v>
      </c>
      <c r="L2917" t="s">
        <v>18</v>
      </c>
      <c r="M2917" t="str">
        <f>"20161129"</f>
        <v>20161129</v>
      </c>
    </row>
    <row r="2918" spans="1:13" x14ac:dyDescent="0.25">
      <c r="A2918" t="str">
        <f>"00452182"</f>
        <v>00452182</v>
      </c>
      <c r="B2918" t="s">
        <v>87</v>
      </c>
      <c r="C2918" t="s">
        <v>88</v>
      </c>
      <c r="D2918" t="s">
        <v>25</v>
      </c>
      <c r="E2918" t="s">
        <v>26</v>
      </c>
      <c r="F2918" t="s">
        <v>17</v>
      </c>
      <c r="G2918" t="str">
        <f>"10"</f>
        <v>10</v>
      </c>
      <c r="H2918" t="str">
        <f>"0  "</f>
        <v xml:space="preserve">0  </v>
      </c>
      <c r="I2918" t="str">
        <f>"2019/08/27"</f>
        <v>2019/08/27</v>
      </c>
      <c r="J2918" t="str">
        <f>"420"</f>
        <v>420</v>
      </c>
      <c r="K2918" t="s">
        <v>18</v>
      </c>
      <c r="L2918" t="s">
        <v>18</v>
      </c>
      <c r="M2918" t="s">
        <v>18</v>
      </c>
    </row>
    <row r="2919" spans="1:13" x14ac:dyDescent="0.25">
      <c r="A2919" t="str">
        <f>"00362094"</f>
        <v>00362094</v>
      </c>
      <c r="B2919" t="s">
        <v>98</v>
      </c>
      <c r="C2919" t="s">
        <v>96</v>
      </c>
      <c r="D2919" t="s">
        <v>45</v>
      </c>
      <c r="E2919" t="s">
        <v>26</v>
      </c>
      <c r="F2919" t="s">
        <v>17</v>
      </c>
      <c r="G2919" t="str">
        <f>"10"</f>
        <v>10</v>
      </c>
      <c r="H2919" t="str">
        <f>"3  "</f>
        <v xml:space="preserve">3  </v>
      </c>
      <c r="I2919" t="str">
        <f>"2020/02/12"</f>
        <v>2020/02/12</v>
      </c>
      <c r="J2919" t="str">
        <f>"503"</f>
        <v>503</v>
      </c>
      <c r="K2919" t="str">
        <f>"20210502"</f>
        <v>20210502</v>
      </c>
      <c r="L2919" t="s">
        <v>18</v>
      </c>
      <c r="M2919" t="str">
        <f>"20191216"</f>
        <v>20191216</v>
      </c>
    </row>
    <row r="2920" spans="1:13" x14ac:dyDescent="0.25">
      <c r="A2920" t="str">
        <f>"00609477"</f>
        <v>00609477</v>
      </c>
      <c r="B2920" t="s">
        <v>98</v>
      </c>
      <c r="C2920" t="s">
        <v>99</v>
      </c>
      <c r="D2920" t="s">
        <v>53</v>
      </c>
      <c r="E2920" t="s">
        <v>26</v>
      </c>
      <c r="F2920" t="s">
        <v>17</v>
      </c>
      <c r="G2920" t="str">
        <f>"10"</f>
        <v>10</v>
      </c>
      <c r="H2920" t="str">
        <f>"3  "</f>
        <v xml:space="preserve">3  </v>
      </c>
      <c r="I2920" t="str">
        <f>"2017/10/23"</f>
        <v>2017/10/23</v>
      </c>
      <c r="J2920" t="str">
        <f>"110"</f>
        <v>110</v>
      </c>
      <c r="K2920" t="str">
        <f>"20260402"</f>
        <v>20260402</v>
      </c>
      <c r="L2920" t="s">
        <v>18</v>
      </c>
      <c r="M2920" t="str">
        <f>"20170802"</f>
        <v>20170802</v>
      </c>
    </row>
    <row r="2921" spans="1:13" x14ac:dyDescent="0.25">
      <c r="A2921" t="str">
        <f>"00626278"</f>
        <v>00626278</v>
      </c>
      <c r="B2921" t="s">
        <v>98</v>
      </c>
      <c r="C2921" t="s">
        <v>102</v>
      </c>
      <c r="D2921" t="s">
        <v>15</v>
      </c>
      <c r="E2921" t="s">
        <v>16</v>
      </c>
      <c r="F2921" t="s">
        <v>17</v>
      </c>
      <c r="G2921" t="str">
        <f>"10"</f>
        <v>10</v>
      </c>
      <c r="H2921" t="str">
        <f>"0  "</f>
        <v xml:space="preserve">0  </v>
      </c>
      <c r="I2921" t="str">
        <f>"2020/09/17"</f>
        <v>2020/09/17</v>
      </c>
      <c r="J2921" t="str">
        <f>"420"</f>
        <v>420</v>
      </c>
      <c r="K2921" t="s">
        <v>18</v>
      </c>
      <c r="L2921" t="s">
        <v>18</v>
      </c>
      <c r="M2921" t="s">
        <v>18</v>
      </c>
    </row>
    <row r="2922" spans="1:13" x14ac:dyDescent="0.25">
      <c r="A2922" t="str">
        <f>"00657033"</f>
        <v>00657033</v>
      </c>
      <c r="B2922" t="s">
        <v>103</v>
      </c>
      <c r="C2922" t="s">
        <v>104</v>
      </c>
      <c r="D2922" t="s">
        <v>61</v>
      </c>
      <c r="E2922" t="s">
        <v>16</v>
      </c>
      <c r="F2922" t="s">
        <v>17</v>
      </c>
      <c r="G2922" t="str">
        <f>"10"</f>
        <v>10</v>
      </c>
      <c r="H2922" t="str">
        <f>"0  "</f>
        <v xml:space="preserve">0  </v>
      </c>
      <c r="I2922" t="str">
        <f>"2019/10/03"</f>
        <v>2019/10/03</v>
      </c>
      <c r="J2922" t="str">
        <f>"420"</f>
        <v>420</v>
      </c>
      <c r="K2922" t="s">
        <v>18</v>
      </c>
      <c r="L2922" t="s">
        <v>18</v>
      </c>
      <c r="M2922" t="s">
        <v>18</v>
      </c>
    </row>
    <row r="2923" spans="1:13" x14ac:dyDescent="0.25">
      <c r="A2923" t="str">
        <f>"00633088"</f>
        <v>00633088</v>
      </c>
      <c r="B2923" t="s">
        <v>110</v>
      </c>
      <c r="C2923" t="s">
        <v>36</v>
      </c>
      <c r="D2923" t="s">
        <v>37</v>
      </c>
      <c r="E2923" t="s">
        <v>16</v>
      </c>
      <c r="F2923" t="s">
        <v>17</v>
      </c>
      <c r="G2923" t="str">
        <f>"10"</f>
        <v>10</v>
      </c>
      <c r="H2923" t="str">
        <f>"3  "</f>
        <v xml:space="preserve">3  </v>
      </c>
      <c r="I2923" t="str">
        <f>"2020/03/27"</f>
        <v>2020/03/27</v>
      </c>
      <c r="J2923" t="str">
        <f>"120"</f>
        <v>120</v>
      </c>
      <c r="K2923" t="str">
        <f>"20260627"</f>
        <v>20260627</v>
      </c>
      <c r="L2923" t="s">
        <v>18</v>
      </c>
      <c r="M2923" t="str">
        <f>"20200305"</f>
        <v>20200305</v>
      </c>
    </row>
    <row r="2924" spans="1:13" x14ac:dyDescent="0.25">
      <c r="A2924" t="str">
        <f>"00562197"</f>
        <v>00562197</v>
      </c>
      <c r="B2924" t="s">
        <v>111</v>
      </c>
      <c r="C2924" t="s">
        <v>112</v>
      </c>
      <c r="D2924" t="s">
        <v>113</v>
      </c>
      <c r="E2924" t="s">
        <v>26</v>
      </c>
      <c r="F2924" t="s">
        <v>17</v>
      </c>
      <c r="G2924" t="str">
        <f>"10"</f>
        <v>10</v>
      </c>
      <c r="H2924" t="str">
        <f>"3  "</f>
        <v xml:space="preserve">3  </v>
      </c>
      <c r="I2924" t="str">
        <f>"2018/08/30"</f>
        <v>2018/08/30</v>
      </c>
      <c r="J2924" t="str">
        <f>"110"</f>
        <v>110</v>
      </c>
      <c r="K2924" t="str">
        <f>"20220712"</f>
        <v>20220712</v>
      </c>
      <c r="L2924" t="s">
        <v>18</v>
      </c>
      <c r="M2924" t="str">
        <f>"20180322"</f>
        <v>20180322</v>
      </c>
    </row>
    <row r="2925" spans="1:13" x14ac:dyDescent="0.25">
      <c r="A2925" t="str">
        <f>"00823386"</f>
        <v>00823386</v>
      </c>
      <c r="B2925" t="s">
        <v>114</v>
      </c>
      <c r="C2925" t="s">
        <v>123</v>
      </c>
      <c r="D2925" t="s">
        <v>25</v>
      </c>
      <c r="E2925" t="s">
        <v>26</v>
      </c>
      <c r="F2925" t="s">
        <v>17</v>
      </c>
      <c r="G2925" t="str">
        <f>"10"</f>
        <v>10</v>
      </c>
      <c r="H2925" t="str">
        <f>"3  "</f>
        <v xml:space="preserve">3  </v>
      </c>
      <c r="I2925" t="str">
        <f>"2018/12/20"</f>
        <v>2018/12/20</v>
      </c>
      <c r="J2925" t="str">
        <f>"110"</f>
        <v>110</v>
      </c>
      <c r="K2925" t="str">
        <f>"20210307"</f>
        <v>20210307</v>
      </c>
      <c r="L2925" t="s">
        <v>18</v>
      </c>
      <c r="M2925" t="str">
        <f>"20180829"</f>
        <v>20180829</v>
      </c>
    </row>
    <row r="2926" spans="1:13" x14ac:dyDescent="0.25">
      <c r="A2926" t="str">
        <f>"00639184"</f>
        <v>00639184</v>
      </c>
      <c r="B2926" t="s">
        <v>114</v>
      </c>
      <c r="C2926" t="s">
        <v>124</v>
      </c>
      <c r="D2926" t="s">
        <v>25</v>
      </c>
      <c r="E2926" t="s">
        <v>26</v>
      </c>
      <c r="F2926" t="s">
        <v>17</v>
      </c>
      <c r="G2926" t="str">
        <f>"10"</f>
        <v>10</v>
      </c>
      <c r="H2926" t="str">
        <f>"3  "</f>
        <v xml:space="preserve">3  </v>
      </c>
      <c r="I2926" t="str">
        <f>"2019/01/20"</f>
        <v>2019/01/20</v>
      </c>
      <c r="J2926" t="str">
        <f>"110"</f>
        <v>110</v>
      </c>
      <c r="K2926" t="str">
        <f>"20230624"</f>
        <v>20230624</v>
      </c>
      <c r="L2926" t="s">
        <v>18</v>
      </c>
      <c r="M2926" t="str">
        <f>"20181024"</f>
        <v>20181024</v>
      </c>
    </row>
    <row r="2927" spans="1:13" x14ac:dyDescent="0.25">
      <c r="A2927" t="str">
        <f>"00732973"</f>
        <v>00732973</v>
      </c>
      <c r="B2927" t="s">
        <v>149</v>
      </c>
      <c r="C2927" t="s">
        <v>150</v>
      </c>
      <c r="D2927" t="s">
        <v>47</v>
      </c>
      <c r="E2927" t="s">
        <v>16</v>
      </c>
      <c r="F2927" t="s">
        <v>17</v>
      </c>
      <c r="G2927" t="str">
        <f>"10"</f>
        <v>10</v>
      </c>
      <c r="H2927" t="str">
        <f>"0  "</f>
        <v xml:space="preserve">0  </v>
      </c>
      <c r="I2927" t="str">
        <f>"2020/07/28"</f>
        <v>2020/07/28</v>
      </c>
      <c r="J2927" t="str">
        <f>"420"</f>
        <v>420</v>
      </c>
      <c r="K2927" t="s">
        <v>18</v>
      </c>
      <c r="L2927" t="s">
        <v>18</v>
      </c>
      <c r="M2927" t="s">
        <v>18</v>
      </c>
    </row>
    <row r="2928" spans="1:13" x14ac:dyDescent="0.25">
      <c r="A2928" t="str">
        <f>"00655079"</f>
        <v>00655079</v>
      </c>
      <c r="B2928" t="s">
        <v>153</v>
      </c>
      <c r="C2928" t="s">
        <v>155</v>
      </c>
      <c r="D2928" t="s">
        <v>53</v>
      </c>
      <c r="E2928" t="s">
        <v>26</v>
      </c>
      <c r="F2928" t="s">
        <v>17</v>
      </c>
      <c r="G2928" t="str">
        <f>"10"</f>
        <v>10</v>
      </c>
      <c r="H2928" t="str">
        <f>"3  "</f>
        <v xml:space="preserve">3  </v>
      </c>
      <c r="I2928" t="str">
        <f>"2020/08/08"</f>
        <v>2020/08/08</v>
      </c>
      <c r="J2928" t="str">
        <f>"504"</f>
        <v>504</v>
      </c>
      <c r="K2928" t="str">
        <f>"20201010"</f>
        <v>20201010</v>
      </c>
      <c r="L2928" t="s">
        <v>18</v>
      </c>
      <c r="M2928" t="str">
        <f>"20190130"</f>
        <v>20190130</v>
      </c>
    </row>
    <row r="2929" spans="1:13" x14ac:dyDescent="0.25">
      <c r="A2929" t="str">
        <f>"00847118"</f>
        <v>00847118</v>
      </c>
      <c r="B2929" t="s">
        <v>153</v>
      </c>
      <c r="C2929" t="s">
        <v>157</v>
      </c>
      <c r="D2929" t="s">
        <v>15</v>
      </c>
      <c r="E2929" t="s">
        <v>16</v>
      </c>
      <c r="F2929" t="s">
        <v>17</v>
      </c>
      <c r="G2929" t="str">
        <f>"10"</f>
        <v>10</v>
      </c>
      <c r="H2929" t="str">
        <f>"3  "</f>
        <v xml:space="preserve">3  </v>
      </c>
      <c r="I2929" t="str">
        <f>"2019/05/02"</f>
        <v>2019/05/02</v>
      </c>
      <c r="J2929" t="str">
        <f>"534"</f>
        <v>534</v>
      </c>
      <c r="K2929" t="str">
        <f>"20221214"</f>
        <v>20221214</v>
      </c>
      <c r="L2929" t="s">
        <v>18</v>
      </c>
      <c r="M2929" t="str">
        <f>"20161027"</f>
        <v>20161027</v>
      </c>
    </row>
    <row r="2930" spans="1:13" x14ac:dyDescent="0.25">
      <c r="A2930" t="str">
        <f>"00549387"</f>
        <v>00549387</v>
      </c>
      <c r="B2930" t="s">
        <v>153</v>
      </c>
      <c r="C2930" t="s">
        <v>167</v>
      </c>
      <c r="D2930" t="s">
        <v>21</v>
      </c>
      <c r="E2930" t="s">
        <v>26</v>
      </c>
      <c r="F2930" t="s">
        <v>17</v>
      </c>
      <c r="G2930" t="str">
        <f>"10"</f>
        <v>10</v>
      </c>
      <c r="H2930" t="str">
        <f>"1  "</f>
        <v xml:space="preserve">1  </v>
      </c>
      <c r="I2930" t="str">
        <f>"2020/09/01"</f>
        <v>2020/09/01</v>
      </c>
      <c r="J2930" t="str">
        <f>"320"</f>
        <v>320</v>
      </c>
      <c r="K2930" t="str">
        <f>"20210131"</f>
        <v>20210131</v>
      </c>
      <c r="L2930" t="s">
        <v>18</v>
      </c>
      <c r="M2930" t="str">
        <f>"20200813"</f>
        <v>20200813</v>
      </c>
    </row>
    <row r="2931" spans="1:13" x14ac:dyDescent="0.25">
      <c r="A2931" t="str">
        <f>"00829301"</f>
        <v>00829301</v>
      </c>
      <c r="B2931" t="s">
        <v>153</v>
      </c>
      <c r="C2931" t="s">
        <v>168</v>
      </c>
      <c r="D2931" t="s">
        <v>25</v>
      </c>
      <c r="E2931" t="s">
        <v>26</v>
      </c>
      <c r="F2931" t="s">
        <v>17</v>
      </c>
      <c r="G2931" t="str">
        <f>"10"</f>
        <v>10</v>
      </c>
      <c r="H2931" t="str">
        <f>"0  "</f>
        <v xml:space="preserve">0  </v>
      </c>
      <c r="I2931" t="str">
        <f>"2020/06/09"</f>
        <v>2020/06/09</v>
      </c>
      <c r="J2931" t="str">
        <f>"420"</f>
        <v>420</v>
      </c>
      <c r="K2931" t="s">
        <v>18</v>
      </c>
      <c r="L2931" t="s">
        <v>18</v>
      </c>
      <c r="M2931" t="s">
        <v>18</v>
      </c>
    </row>
    <row r="2932" spans="1:13" x14ac:dyDescent="0.25">
      <c r="A2932" t="str">
        <f>"00542558"</f>
        <v>00542558</v>
      </c>
      <c r="B2932" t="s">
        <v>153</v>
      </c>
      <c r="C2932" t="s">
        <v>169</v>
      </c>
      <c r="D2932" t="s">
        <v>31</v>
      </c>
      <c r="E2932" t="s">
        <v>26</v>
      </c>
      <c r="F2932" t="s">
        <v>17</v>
      </c>
      <c r="G2932" t="str">
        <f>"10"</f>
        <v>10</v>
      </c>
      <c r="H2932" t="str">
        <f>"3  "</f>
        <v xml:space="preserve">3  </v>
      </c>
      <c r="I2932" t="str">
        <f>"2017/09/02"</f>
        <v>2017/09/02</v>
      </c>
      <c r="J2932" t="str">
        <f>"110"</f>
        <v>110</v>
      </c>
      <c r="K2932" t="str">
        <f>"20220219"</f>
        <v>20220219</v>
      </c>
      <c r="L2932" t="s">
        <v>18</v>
      </c>
      <c r="M2932" t="str">
        <f>"20170130"</f>
        <v>20170130</v>
      </c>
    </row>
    <row r="2933" spans="1:13" x14ac:dyDescent="0.25">
      <c r="A2933" t="str">
        <f>"00568450"</f>
        <v>00568450</v>
      </c>
      <c r="B2933" t="s">
        <v>187</v>
      </c>
      <c r="C2933" t="s">
        <v>189</v>
      </c>
      <c r="D2933" t="s">
        <v>61</v>
      </c>
      <c r="E2933" t="s">
        <v>16</v>
      </c>
      <c r="F2933" t="s">
        <v>17</v>
      </c>
      <c r="G2933" t="str">
        <f>"10"</f>
        <v>10</v>
      </c>
      <c r="H2933" t="str">
        <f>"3  "</f>
        <v xml:space="preserve">3  </v>
      </c>
      <c r="I2933" t="str">
        <f>"2020/07/19"</f>
        <v>2020/07/19</v>
      </c>
      <c r="J2933" t="str">
        <f>"110"</f>
        <v>110</v>
      </c>
      <c r="K2933" t="str">
        <f>"20210303"</f>
        <v>20210303</v>
      </c>
      <c r="L2933" t="s">
        <v>18</v>
      </c>
      <c r="M2933" t="str">
        <f>"20200204"</f>
        <v>20200204</v>
      </c>
    </row>
    <row r="2934" spans="1:13" x14ac:dyDescent="0.25">
      <c r="A2934" t="str">
        <f>"00873740"</f>
        <v>00873740</v>
      </c>
      <c r="B2934" t="s">
        <v>194</v>
      </c>
      <c r="C2934" t="s">
        <v>135</v>
      </c>
      <c r="D2934" t="s">
        <v>61</v>
      </c>
      <c r="E2934" t="s">
        <v>16</v>
      </c>
      <c r="F2934" t="s">
        <v>17</v>
      </c>
      <c r="G2934" t="str">
        <f>"10"</f>
        <v>10</v>
      </c>
      <c r="H2934" t="str">
        <f>"3  "</f>
        <v xml:space="preserve">3  </v>
      </c>
      <c r="I2934" t="str">
        <f>"2020/02/04"</f>
        <v>2020/02/04</v>
      </c>
      <c r="J2934" t="str">
        <f>"110"</f>
        <v>110</v>
      </c>
      <c r="K2934" t="str">
        <f>"20210526"</f>
        <v>20210526</v>
      </c>
      <c r="L2934" t="s">
        <v>18</v>
      </c>
      <c r="M2934" t="str">
        <f>"20190731"</f>
        <v>20190731</v>
      </c>
    </row>
    <row r="2935" spans="1:13" x14ac:dyDescent="0.25">
      <c r="A2935" t="str">
        <f>"00636085"</f>
        <v>00636085</v>
      </c>
      <c r="B2935" t="s">
        <v>214</v>
      </c>
      <c r="C2935" t="s">
        <v>216</v>
      </c>
      <c r="D2935" t="s">
        <v>25</v>
      </c>
      <c r="E2935" t="s">
        <v>26</v>
      </c>
      <c r="F2935" t="s">
        <v>17</v>
      </c>
      <c r="G2935" t="str">
        <f>"10"</f>
        <v>10</v>
      </c>
      <c r="H2935" t="str">
        <f>"0  "</f>
        <v xml:space="preserve">0  </v>
      </c>
      <c r="I2935" t="str">
        <f>"2020/07/31"</f>
        <v>2020/07/31</v>
      </c>
      <c r="J2935" t="str">
        <f>"420"</f>
        <v>420</v>
      </c>
      <c r="K2935" t="s">
        <v>18</v>
      </c>
      <c r="L2935" t="s">
        <v>18</v>
      </c>
      <c r="M2935" t="s">
        <v>18</v>
      </c>
    </row>
    <row r="2936" spans="1:13" x14ac:dyDescent="0.25">
      <c r="A2936" t="str">
        <f>"00399520"</f>
        <v>00399520</v>
      </c>
      <c r="B2936" t="s">
        <v>214</v>
      </c>
      <c r="C2936" t="s">
        <v>55</v>
      </c>
      <c r="D2936" t="s">
        <v>51</v>
      </c>
      <c r="E2936" t="s">
        <v>26</v>
      </c>
      <c r="F2936" t="s">
        <v>17</v>
      </c>
      <c r="G2936" t="str">
        <f>"10"</f>
        <v>10</v>
      </c>
      <c r="H2936" t="str">
        <f>"0  "</f>
        <v xml:space="preserve">0  </v>
      </c>
      <c r="I2936" t="str">
        <f>"2020/09/18"</f>
        <v>2020/09/18</v>
      </c>
      <c r="J2936" t="str">
        <f>"420"</f>
        <v>420</v>
      </c>
      <c r="K2936" t="s">
        <v>18</v>
      </c>
      <c r="L2936" t="s">
        <v>18</v>
      </c>
      <c r="M2936" t="s">
        <v>18</v>
      </c>
    </row>
    <row r="2937" spans="1:13" x14ac:dyDescent="0.25">
      <c r="A2937" t="str">
        <f>"00883886"</f>
        <v>00883886</v>
      </c>
      <c r="B2937" t="s">
        <v>217</v>
      </c>
      <c r="C2937" t="s">
        <v>219</v>
      </c>
      <c r="D2937" t="s">
        <v>25</v>
      </c>
      <c r="E2937" t="s">
        <v>16</v>
      </c>
      <c r="F2937" t="s">
        <v>17</v>
      </c>
      <c r="G2937" t="str">
        <f>"10"</f>
        <v>10</v>
      </c>
      <c r="H2937" t="str">
        <f>"0  "</f>
        <v xml:space="preserve">0  </v>
      </c>
      <c r="I2937" t="str">
        <f>"2019/10/03"</f>
        <v>2019/10/03</v>
      </c>
      <c r="J2937" t="str">
        <f>"420"</f>
        <v>420</v>
      </c>
      <c r="K2937" t="s">
        <v>18</v>
      </c>
      <c r="L2937" t="s">
        <v>18</v>
      </c>
      <c r="M2937" t="s">
        <v>18</v>
      </c>
    </row>
    <row r="2938" spans="1:13" x14ac:dyDescent="0.25">
      <c r="A2938" t="str">
        <f>"00932946"</f>
        <v>00932946</v>
      </c>
      <c r="B2938" t="s">
        <v>223</v>
      </c>
      <c r="C2938" t="s">
        <v>224</v>
      </c>
      <c r="D2938" t="s">
        <v>25</v>
      </c>
      <c r="E2938" t="s">
        <v>16</v>
      </c>
      <c r="F2938" t="s">
        <v>17</v>
      </c>
      <c r="G2938" t="str">
        <f>"10"</f>
        <v>10</v>
      </c>
      <c r="H2938" t="str">
        <f>"0  "</f>
        <v xml:space="preserve">0  </v>
      </c>
      <c r="I2938" t="str">
        <f>"2020/07/15"</f>
        <v>2020/07/15</v>
      </c>
      <c r="J2938" t="str">
        <f>"512"</f>
        <v>512</v>
      </c>
      <c r="K2938" t="s">
        <v>18</v>
      </c>
      <c r="L2938" t="s">
        <v>18</v>
      </c>
      <c r="M2938" t="s">
        <v>18</v>
      </c>
    </row>
    <row r="2939" spans="1:13" x14ac:dyDescent="0.25">
      <c r="A2939" t="str">
        <f>"00237560"</f>
        <v>00237560</v>
      </c>
      <c r="B2939" t="s">
        <v>223</v>
      </c>
      <c r="C2939" t="s">
        <v>225</v>
      </c>
      <c r="D2939" t="s">
        <v>25</v>
      </c>
      <c r="E2939" t="s">
        <v>16</v>
      </c>
      <c r="F2939" t="s">
        <v>17</v>
      </c>
      <c r="G2939" t="str">
        <f>"10"</f>
        <v>10</v>
      </c>
      <c r="H2939" t="str">
        <f>"3  "</f>
        <v xml:space="preserve">3  </v>
      </c>
      <c r="I2939" t="str">
        <f>"2018/02/06"</f>
        <v>2018/02/06</v>
      </c>
      <c r="J2939" t="str">
        <f>"110"</f>
        <v>110</v>
      </c>
      <c r="K2939" t="str">
        <f>"20220811"</f>
        <v>20220811</v>
      </c>
      <c r="L2939" t="s">
        <v>18</v>
      </c>
      <c r="M2939" t="str">
        <f>"20160314"</f>
        <v>20160314</v>
      </c>
    </row>
    <row r="2940" spans="1:13" x14ac:dyDescent="0.25">
      <c r="A2940" t="str">
        <f>"00215298"</f>
        <v>00215298</v>
      </c>
      <c r="B2940" t="s">
        <v>231</v>
      </c>
      <c r="C2940" t="s">
        <v>233</v>
      </c>
      <c r="D2940" t="s">
        <v>15</v>
      </c>
      <c r="E2940" t="s">
        <v>26</v>
      </c>
      <c r="F2940" t="s">
        <v>17</v>
      </c>
      <c r="G2940" t="str">
        <f>"10"</f>
        <v>10</v>
      </c>
      <c r="H2940" t="str">
        <f>"3  "</f>
        <v xml:space="preserve">3  </v>
      </c>
      <c r="I2940" t="str">
        <f>"2018/04/13"</f>
        <v>2018/04/13</v>
      </c>
      <c r="J2940" t="str">
        <f>"110"</f>
        <v>110</v>
      </c>
      <c r="K2940" t="str">
        <f>"20211230"</f>
        <v>20211230</v>
      </c>
      <c r="L2940" t="s">
        <v>18</v>
      </c>
      <c r="M2940" t="str">
        <f>"20170929"</f>
        <v>20170929</v>
      </c>
    </row>
    <row r="2941" spans="1:13" x14ac:dyDescent="0.25">
      <c r="A2941" t="str">
        <f>"00643012"</f>
        <v>00643012</v>
      </c>
      <c r="B2941" t="s">
        <v>234</v>
      </c>
      <c r="C2941" t="s">
        <v>169</v>
      </c>
      <c r="D2941" t="s">
        <v>25</v>
      </c>
      <c r="E2941" t="s">
        <v>26</v>
      </c>
      <c r="F2941" t="s">
        <v>17</v>
      </c>
      <c r="G2941" t="str">
        <f>"10"</f>
        <v>10</v>
      </c>
      <c r="H2941" t="str">
        <f>"3  "</f>
        <v xml:space="preserve">3  </v>
      </c>
      <c r="I2941" t="str">
        <f>"2016/10/13"</f>
        <v>2016/10/13</v>
      </c>
      <c r="J2941" t="str">
        <f>"110"</f>
        <v>110</v>
      </c>
      <c r="K2941" t="str">
        <f>"20201013"</f>
        <v>20201013</v>
      </c>
      <c r="L2941" t="s">
        <v>18</v>
      </c>
      <c r="M2941" t="str">
        <f>"20151107"</f>
        <v>20151107</v>
      </c>
    </row>
    <row r="2942" spans="1:13" x14ac:dyDescent="0.25">
      <c r="A2942" t="str">
        <f>"00937450"</f>
        <v>00937450</v>
      </c>
      <c r="B2942" t="s">
        <v>238</v>
      </c>
      <c r="C2942" t="s">
        <v>36</v>
      </c>
      <c r="D2942" t="s">
        <v>80</v>
      </c>
      <c r="E2942" t="s">
        <v>16</v>
      </c>
      <c r="F2942" t="s">
        <v>17</v>
      </c>
      <c r="G2942" t="str">
        <f>"10"</f>
        <v>10</v>
      </c>
      <c r="H2942" t="str">
        <f>"0  "</f>
        <v xml:space="preserve">0  </v>
      </c>
      <c r="I2942" t="str">
        <f>"2020/09/19"</f>
        <v>2020/09/19</v>
      </c>
      <c r="J2942" t="str">
        <f>"440"</f>
        <v>440</v>
      </c>
      <c r="K2942" t="s">
        <v>18</v>
      </c>
      <c r="L2942" t="s">
        <v>18</v>
      </c>
      <c r="M2942" t="s">
        <v>18</v>
      </c>
    </row>
    <row r="2943" spans="1:13" x14ac:dyDescent="0.25">
      <c r="A2943" t="str">
        <f>"00915745"</f>
        <v>00915745</v>
      </c>
      <c r="B2943" t="s">
        <v>240</v>
      </c>
      <c r="C2943" t="s">
        <v>241</v>
      </c>
      <c r="D2943" t="s">
        <v>25</v>
      </c>
      <c r="E2943" t="s">
        <v>26</v>
      </c>
      <c r="F2943" t="s">
        <v>17</v>
      </c>
      <c r="G2943" t="str">
        <f>"10"</f>
        <v>10</v>
      </c>
      <c r="H2943" t="str">
        <f>"0  "</f>
        <v xml:space="preserve">0  </v>
      </c>
      <c r="I2943" t="str">
        <f>"2019/09/10"</f>
        <v>2019/09/10</v>
      </c>
      <c r="J2943" t="str">
        <f>"420"</f>
        <v>420</v>
      </c>
      <c r="K2943" t="s">
        <v>18</v>
      </c>
      <c r="L2943" t="s">
        <v>18</v>
      </c>
      <c r="M2943" t="s">
        <v>18</v>
      </c>
    </row>
    <row r="2944" spans="1:13" x14ac:dyDescent="0.25">
      <c r="A2944" t="str">
        <f>"00675185"</f>
        <v>00675185</v>
      </c>
      <c r="B2944" t="s">
        <v>242</v>
      </c>
      <c r="C2944" t="s">
        <v>140</v>
      </c>
      <c r="D2944" t="s">
        <v>25</v>
      </c>
      <c r="E2944" t="s">
        <v>26</v>
      </c>
      <c r="F2944" t="s">
        <v>17</v>
      </c>
      <c r="G2944" t="str">
        <f>"10"</f>
        <v>10</v>
      </c>
      <c r="H2944" t="str">
        <f>"0  "</f>
        <v xml:space="preserve">0  </v>
      </c>
      <c r="I2944" t="str">
        <f>"2020/07/03"</f>
        <v>2020/07/03</v>
      </c>
      <c r="J2944" t="str">
        <f>"420"</f>
        <v>420</v>
      </c>
      <c r="K2944" t="s">
        <v>18</v>
      </c>
      <c r="L2944" t="s">
        <v>18</v>
      </c>
      <c r="M2944" t="s">
        <v>18</v>
      </c>
    </row>
    <row r="2945" spans="1:13" x14ac:dyDescent="0.25">
      <c r="A2945" t="str">
        <f>"00303699"</f>
        <v>00303699</v>
      </c>
      <c r="B2945" t="s">
        <v>242</v>
      </c>
      <c r="C2945" t="s">
        <v>245</v>
      </c>
      <c r="D2945" t="s">
        <v>21</v>
      </c>
      <c r="E2945" t="s">
        <v>26</v>
      </c>
      <c r="F2945" t="s">
        <v>17</v>
      </c>
      <c r="G2945" t="str">
        <f>"10"</f>
        <v>10</v>
      </c>
      <c r="H2945" t="str">
        <f>"3  "</f>
        <v xml:space="preserve">3  </v>
      </c>
      <c r="I2945" t="str">
        <f>"2020/09/16"</f>
        <v>2020/09/16</v>
      </c>
      <c r="J2945" t="str">
        <f>"502"</f>
        <v>502</v>
      </c>
      <c r="K2945" t="str">
        <f>"20250905"</f>
        <v>20250905</v>
      </c>
      <c r="L2945" t="s">
        <v>18</v>
      </c>
      <c r="M2945" t="str">
        <f>"20070809"</f>
        <v>20070809</v>
      </c>
    </row>
    <row r="2946" spans="1:13" x14ac:dyDescent="0.25">
      <c r="A2946" t="str">
        <f>"00792868"</f>
        <v>00792868</v>
      </c>
      <c r="B2946" t="s">
        <v>242</v>
      </c>
      <c r="C2946" t="s">
        <v>72</v>
      </c>
      <c r="D2946" t="s">
        <v>37</v>
      </c>
      <c r="E2946" t="s">
        <v>26</v>
      </c>
      <c r="F2946" t="s">
        <v>17</v>
      </c>
      <c r="G2946" t="str">
        <f>"10"</f>
        <v>10</v>
      </c>
      <c r="H2946" t="str">
        <f>"0  "</f>
        <v xml:space="preserve">0  </v>
      </c>
      <c r="I2946" t="str">
        <f>"2020/08/25"</f>
        <v>2020/08/25</v>
      </c>
      <c r="J2946" t="str">
        <f>"420"</f>
        <v>420</v>
      </c>
      <c r="K2946" t="s">
        <v>18</v>
      </c>
      <c r="L2946" t="s">
        <v>18</v>
      </c>
      <c r="M2946" t="s">
        <v>18</v>
      </c>
    </row>
    <row r="2947" spans="1:13" x14ac:dyDescent="0.25">
      <c r="A2947" t="str">
        <f>"00428378"</f>
        <v>00428378</v>
      </c>
      <c r="B2947" t="s">
        <v>257</v>
      </c>
      <c r="C2947" t="s">
        <v>258</v>
      </c>
      <c r="D2947" t="s">
        <v>51</v>
      </c>
      <c r="E2947" t="s">
        <v>26</v>
      </c>
      <c r="F2947" t="s">
        <v>17</v>
      </c>
      <c r="G2947" t="str">
        <f>"10"</f>
        <v>10</v>
      </c>
      <c r="H2947" t="str">
        <f>"0  "</f>
        <v xml:space="preserve">0  </v>
      </c>
      <c r="I2947" t="str">
        <f>"2020/08/02"</f>
        <v>2020/08/02</v>
      </c>
      <c r="J2947" t="str">
        <f>"420"</f>
        <v>420</v>
      </c>
      <c r="K2947" t="s">
        <v>18</v>
      </c>
      <c r="L2947" t="s">
        <v>18</v>
      </c>
      <c r="M2947" t="s">
        <v>18</v>
      </c>
    </row>
    <row r="2948" spans="1:13" x14ac:dyDescent="0.25">
      <c r="A2948" t="str">
        <f>"00176504"</f>
        <v>00176504</v>
      </c>
      <c r="B2948" t="s">
        <v>257</v>
      </c>
      <c r="C2948" t="s">
        <v>96</v>
      </c>
      <c r="D2948" t="s">
        <v>47</v>
      </c>
      <c r="E2948" t="s">
        <v>26</v>
      </c>
      <c r="F2948" t="s">
        <v>17</v>
      </c>
      <c r="G2948" t="str">
        <f>"10"</f>
        <v>10</v>
      </c>
      <c r="H2948" t="str">
        <f>"1  "</f>
        <v xml:space="preserve">1  </v>
      </c>
      <c r="I2948" t="str">
        <f>"2020/08/03"</f>
        <v>2020/08/03</v>
      </c>
      <c r="J2948" t="str">
        <f>"110"</f>
        <v>110</v>
      </c>
      <c r="K2948" t="str">
        <f>"20210103"</f>
        <v>20210103</v>
      </c>
      <c r="L2948" t="s">
        <v>18</v>
      </c>
      <c r="M2948" t="str">
        <f>"20200803"</f>
        <v>20200803</v>
      </c>
    </row>
    <row r="2949" spans="1:13" x14ac:dyDescent="0.25">
      <c r="A2949" t="str">
        <f>"00171662"</f>
        <v>00171662</v>
      </c>
      <c r="B2949" t="s">
        <v>262</v>
      </c>
      <c r="C2949" t="s">
        <v>267</v>
      </c>
      <c r="D2949" t="s">
        <v>31</v>
      </c>
      <c r="E2949" t="s">
        <v>16</v>
      </c>
      <c r="F2949" t="s">
        <v>17</v>
      </c>
      <c r="G2949" t="str">
        <f>"10"</f>
        <v>10</v>
      </c>
      <c r="H2949" t="str">
        <f>"3  "</f>
        <v xml:space="preserve">3  </v>
      </c>
      <c r="I2949" t="str">
        <f>"2019/12/19"</f>
        <v>2019/12/19</v>
      </c>
      <c r="J2949" t="str">
        <f>"110"</f>
        <v>110</v>
      </c>
      <c r="K2949" t="str">
        <f>"20210330"</f>
        <v>20210330</v>
      </c>
      <c r="L2949" t="s">
        <v>18</v>
      </c>
      <c r="M2949" t="str">
        <f>"20191219"</f>
        <v>20191219</v>
      </c>
    </row>
    <row r="2950" spans="1:13" x14ac:dyDescent="0.25">
      <c r="A2950" t="str">
        <f>"00414104"</f>
        <v>00414104</v>
      </c>
      <c r="B2950" t="s">
        <v>262</v>
      </c>
      <c r="C2950" t="s">
        <v>169</v>
      </c>
      <c r="D2950" t="s">
        <v>26</v>
      </c>
      <c r="E2950" t="s">
        <v>16</v>
      </c>
      <c r="F2950" t="s">
        <v>17</v>
      </c>
      <c r="G2950" t="str">
        <f>"10"</f>
        <v>10</v>
      </c>
      <c r="H2950" t="str">
        <f>"3  "</f>
        <v xml:space="preserve">3  </v>
      </c>
      <c r="I2950" t="str">
        <f>"2020/07/01"</f>
        <v>2020/07/01</v>
      </c>
      <c r="J2950" t="str">
        <f>"502"</f>
        <v>502</v>
      </c>
      <c r="K2950" t="str">
        <f>"20220205"</f>
        <v>20220205</v>
      </c>
      <c r="L2950" t="s">
        <v>18</v>
      </c>
      <c r="M2950" t="str">
        <f>"20150114"</f>
        <v>20150114</v>
      </c>
    </row>
    <row r="2951" spans="1:13" x14ac:dyDescent="0.25">
      <c r="A2951" t="str">
        <f>"00549304"</f>
        <v>00549304</v>
      </c>
      <c r="B2951" t="s">
        <v>271</v>
      </c>
      <c r="C2951" t="s">
        <v>272</v>
      </c>
      <c r="D2951" t="s">
        <v>61</v>
      </c>
      <c r="E2951" t="s">
        <v>16</v>
      </c>
      <c r="F2951" t="s">
        <v>17</v>
      </c>
      <c r="G2951" t="str">
        <f>"10"</f>
        <v>10</v>
      </c>
      <c r="H2951" t="str">
        <f>"0  "</f>
        <v xml:space="preserve">0  </v>
      </c>
      <c r="I2951" t="str">
        <f>"2020/07/07"</f>
        <v>2020/07/07</v>
      </c>
      <c r="J2951" t="str">
        <f>"420"</f>
        <v>420</v>
      </c>
      <c r="K2951" t="s">
        <v>18</v>
      </c>
      <c r="L2951" t="s">
        <v>18</v>
      </c>
      <c r="M2951" t="s">
        <v>18</v>
      </c>
    </row>
    <row r="2952" spans="1:13" x14ac:dyDescent="0.25">
      <c r="A2952" t="str">
        <f>"00755589"</f>
        <v>00755589</v>
      </c>
      <c r="B2952" t="s">
        <v>276</v>
      </c>
      <c r="C2952" t="s">
        <v>279</v>
      </c>
      <c r="D2952" t="s">
        <v>25</v>
      </c>
      <c r="E2952" t="s">
        <v>26</v>
      </c>
      <c r="F2952" t="s">
        <v>17</v>
      </c>
      <c r="G2952" t="str">
        <f>"10"</f>
        <v>10</v>
      </c>
      <c r="H2952" t="str">
        <f>"0  "</f>
        <v xml:space="preserve">0  </v>
      </c>
      <c r="I2952" t="str">
        <f>"2020/09/10"</f>
        <v>2020/09/10</v>
      </c>
      <c r="J2952" t="str">
        <f>"420"</f>
        <v>420</v>
      </c>
      <c r="K2952" t="s">
        <v>18</v>
      </c>
      <c r="L2952" t="s">
        <v>18</v>
      </c>
      <c r="M2952" t="s">
        <v>18</v>
      </c>
    </row>
    <row r="2953" spans="1:13" x14ac:dyDescent="0.25">
      <c r="A2953" t="str">
        <f>"00789044"</f>
        <v>00789044</v>
      </c>
      <c r="B2953" t="s">
        <v>276</v>
      </c>
      <c r="C2953" t="s">
        <v>282</v>
      </c>
      <c r="D2953" t="s">
        <v>31</v>
      </c>
      <c r="E2953" t="s">
        <v>26</v>
      </c>
      <c r="F2953" t="s">
        <v>17</v>
      </c>
      <c r="G2953" t="str">
        <f>"10"</f>
        <v>10</v>
      </c>
      <c r="H2953" t="str">
        <f>"1  "</f>
        <v xml:space="preserve">1  </v>
      </c>
      <c r="I2953" t="str">
        <f>"2020/09/02"</f>
        <v>2020/09/02</v>
      </c>
      <c r="J2953" t="str">
        <f>"120"</f>
        <v>120</v>
      </c>
      <c r="K2953" t="str">
        <f>"20210121"</f>
        <v>20210121</v>
      </c>
      <c r="L2953" t="s">
        <v>18</v>
      </c>
      <c r="M2953" t="str">
        <f>"20200901"</f>
        <v>20200901</v>
      </c>
    </row>
    <row r="2954" spans="1:13" x14ac:dyDescent="0.25">
      <c r="A2954" t="str">
        <f>"00550933"</f>
        <v>00550933</v>
      </c>
      <c r="B2954" t="s">
        <v>276</v>
      </c>
      <c r="C2954" t="s">
        <v>284</v>
      </c>
      <c r="D2954" t="s">
        <v>40</v>
      </c>
      <c r="E2954" t="s">
        <v>26</v>
      </c>
      <c r="F2954" t="s">
        <v>17</v>
      </c>
      <c r="G2954" t="str">
        <f>"10"</f>
        <v>10</v>
      </c>
      <c r="H2954" t="str">
        <f>"3  "</f>
        <v xml:space="preserve">3  </v>
      </c>
      <c r="I2954" t="str">
        <f>"2018/07/21"</f>
        <v>2018/07/21</v>
      </c>
      <c r="J2954" t="str">
        <f>"110"</f>
        <v>110</v>
      </c>
      <c r="K2954" t="str">
        <f>"20231012"</f>
        <v>20231012</v>
      </c>
      <c r="L2954" t="s">
        <v>18</v>
      </c>
      <c r="M2954" t="str">
        <f>"20170816"</f>
        <v>20170816</v>
      </c>
    </row>
    <row r="2955" spans="1:13" x14ac:dyDescent="0.25">
      <c r="A2955" t="str">
        <f>"00774956"</f>
        <v>00774956</v>
      </c>
      <c r="B2955" t="s">
        <v>276</v>
      </c>
      <c r="C2955" t="s">
        <v>286</v>
      </c>
      <c r="D2955" t="s">
        <v>25</v>
      </c>
      <c r="E2955" t="s">
        <v>26</v>
      </c>
      <c r="F2955" t="s">
        <v>17</v>
      </c>
      <c r="G2955" t="str">
        <f>"10"</f>
        <v>10</v>
      </c>
      <c r="H2955" t="str">
        <f>"0  "</f>
        <v xml:space="preserve">0  </v>
      </c>
      <c r="I2955" t="str">
        <f>"2020/02/26"</f>
        <v>2020/02/26</v>
      </c>
      <c r="J2955" t="str">
        <f>"420"</f>
        <v>420</v>
      </c>
      <c r="K2955" t="s">
        <v>18</v>
      </c>
      <c r="L2955" t="s">
        <v>18</v>
      </c>
      <c r="M2955" t="s">
        <v>18</v>
      </c>
    </row>
    <row r="2956" spans="1:13" x14ac:dyDescent="0.25">
      <c r="A2956" t="str">
        <f>"00401917"</f>
        <v>00401917</v>
      </c>
      <c r="B2956" t="s">
        <v>293</v>
      </c>
      <c r="C2956" t="s">
        <v>55</v>
      </c>
      <c r="D2956" t="s">
        <v>61</v>
      </c>
      <c r="E2956" t="s">
        <v>16</v>
      </c>
      <c r="F2956" t="s">
        <v>17</v>
      </c>
      <c r="G2956" t="str">
        <f>"10"</f>
        <v>10</v>
      </c>
      <c r="H2956" t="str">
        <f>"0  "</f>
        <v xml:space="preserve">0  </v>
      </c>
      <c r="I2956" t="str">
        <f>"2020/06/25"</f>
        <v>2020/06/25</v>
      </c>
      <c r="J2956" t="str">
        <f>"420"</f>
        <v>420</v>
      </c>
      <c r="K2956" t="s">
        <v>18</v>
      </c>
      <c r="L2956" t="s">
        <v>18</v>
      </c>
      <c r="M2956" t="s">
        <v>18</v>
      </c>
    </row>
    <row r="2957" spans="1:13" x14ac:dyDescent="0.25">
      <c r="A2957" t="str">
        <f>"00748541"</f>
        <v>00748541</v>
      </c>
      <c r="B2957" t="s">
        <v>297</v>
      </c>
      <c r="C2957" t="s">
        <v>298</v>
      </c>
      <c r="D2957" t="s">
        <v>25</v>
      </c>
      <c r="E2957" t="s">
        <v>26</v>
      </c>
      <c r="F2957" t="s">
        <v>17</v>
      </c>
      <c r="G2957" t="str">
        <f>"10"</f>
        <v>10</v>
      </c>
      <c r="H2957" t="str">
        <f>"1  "</f>
        <v xml:space="preserve">1  </v>
      </c>
      <c r="I2957" t="str">
        <f>"2020/09/21"</f>
        <v>2020/09/21</v>
      </c>
      <c r="J2957" t="str">
        <f>"110"</f>
        <v>110</v>
      </c>
      <c r="K2957" t="str">
        <f>"20201213"</f>
        <v>20201213</v>
      </c>
      <c r="L2957" t="s">
        <v>18</v>
      </c>
      <c r="M2957" t="str">
        <f>"20200920"</f>
        <v>20200920</v>
      </c>
    </row>
    <row r="2958" spans="1:13" x14ac:dyDescent="0.25">
      <c r="A2958" t="str">
        <f>"00455908"</f>
        <v>00455908</v>
      </c>
      <c r="B2958" t="s">
        <v>300</v>
      </c>
      <c r="C2958" t="s">
        <v>99</v>
      </c>
      <c r="D2958" t="s">
        <v>51</v>
      </c>
      <c r="E2958" t="s">
        <v>26</v>
      </c>
      <c r="F2958" t="s">
        <v>17</v>
      </c>
      <c r="G2958" t="str">
        <f>"10"</f>
        <v>10</v>
      </c>
      <c r="H2958" t="str">
        <f>"3  "</f>
        <v xml:space="preserve">3  </v>
      </c>
      <c r="I2958" t="str">
        <f>"2019/08/23"</f>
        <v>2019/08/23</v>
      </c>
      <c r="J2958" t="str">
        <f>"110"</f>
        <v>110</v>
      </c>
      <c r="K2958" t="str">
        <f>"20210407"</f>
        <v>20210407</v>
      </c>
      <c r="L2958" t="s">
        <v>18</v>
      </c>
      <c r="M2958" t="str">
        <f>"20190814"</f>
        <v>20190814</v>
      </c>
    </row>
    <row r="2959" spans="1:13" x14ac:dyDescent="0.25">
      <c r="A2959" t="str">
        <f>"00335013"</f>
        <v>00335013</v>
      </c>
      <c r="B2959" t="s">
        <v>300</v>
      </c>
      <c r="C2959" t="s">
        <v>164</v>
      </c>
      <c r="D2959" t="s">
        <v>121</v>
      </c>
      <c r="E2959" t="s">
        <v>26</v>
      </c>
      <c r="F2959" t="s">
        <v>17</v>
      </c>
      <c r="G2959" t="str">
        <f>"10"</f>
        <v>10</v>
      </c>
      <c r="H2959" t="str">
        <f>"3  "</f>
        <v xml:space="preserve">3  </v>
      </c>
      <c r="I2959" t="str">
        <f>"2017/04/04"</f>
        <v>2017/04/04</v>
      </c>
      <c r="J2959" t="str">
        <f>"120"</f>
        <v>120</v>
      </c>
      <c r="K2959" t="str">
        <f>"20210622"</f>
        <v>20210622</v>
      </c>
      <c r="L2959" t="s">
        <v>18</v>
      </c>
      <c r="M2959" t="str">
        <f>"20160628"</f>
        <v>20160628</v>
      </c>
    </row>
    <row r="2960" spans="1:13" x14ac:dyDescent="0.25">
      <c r="A2960" t="str">
        <f>"00201529"</f>
        <v>00201529</v>
      </c>
      <c r="B2960" t="s">
        <v>305</v>
      </c>
      <c r="C2960" t="s">
        <v>136</v>
      </c>
      <c r="D2960" t="s">
        <v>51</v>
      </c>
      <c r="E2960" t="s">
        <v>16</v>
      </c>
      <c r="F2960" t="s">
        <v>17</v>
      </c>
      <c r="G2960" t="str">
        <f>"10"</f>
        <v>10</v>
      </c>
      <c r="H2960" t="str">
        <f>"0  "</f>
        <v xml:space="preserve">0  </v>
      </c>
      <c r="I2960" t="str">
        <f>"2020/06/19"</f>
        <v>2020/06/19</v>
      </c>
      <c r="J2960" t="str">
        <f>"420"</f>
        <v>420</v>
      </c>
      <c r="K2960" t="s">
        <v>18</v>
      </c>
      <c r="L2960" t="s">
        <v>18</v>
      </c>
      <c r="M2960" t="s">
        <v>18</v>
      </c>
    </row>
    <row r="2961" spans="1:13" x14ac:dyDescent="0.25">
      <c r="A2961" t="str">
        <f>"00726400"</f>
        <v>00726400</v>
      </c>
      <c r="B2961" t="s">
        <v>305</v>
      </c>
      <c r="C2961" t="s">
        <v>169</v>
      </c>
      <c r="D2961" t="s">
        <v>25</v>
      </c>
      <c r="E2961" t="s">
        <v>26</v>
      </c>
      <c r="F2961" t="s">
        <v>17</v>
      </c>
      <c r="G2961" t="str">
        <f>"10"</f>
        <v>10</v>
      </c>
      <c r="H2961" t="str">
        <f>"0  "</f>
        <v xml:space="preserve">0  </v>
      </c>
      <c r="I2961" t="str">
        <f>"2019/08/24"</f>
        <v>2019/08/24</v>
      </c>
      <c r="J2961" t="str">
        <f>"420"</f>
        <v>420</v>
      </c>
      <c r="K2961" t="s">
        <v>18</v>
      </c>
      <c r="L2961" t="s">
        <v>18</v>
      </c>
      <c r="M2961" t="s">
        <v>18</v>
      </c>
    </row>
    <row r="2962" spans="1:13" x14ac:dyDescent="0.25">
      <c r="A2962" t="str">
        <f>"00148617"</f>
        <v>00148617</v>
      </c>
      <c r="B2962" t="s">
        <v>309</v>
      </c>
      <c r="C2962" t="s">
        <v>120</v>
      </c>
      <c r="D2962" t="s">
        <v>40</v>
      </c>
      <c r="E2962" t="s">
        <v>16</v>
      </c>
      <c r="F2962" t="s">
        <v>17</v>
      </c>
      <c r="G2962" t="str">
        <f>"10"</f>
        <v>10</v>
      </c>
      <c r="H2962" t="str">
        <f>"0  "</f>
        <v xml:space="preserve">0  </v>
      </c>
      <c r="I2962" t="str">
        <f>"2020/07/25"</f>
        <v>2020/07/25</v>
      </c>
      <c r="J2962" t="str">
        <f>"420"</f>
        <v>420</v>
      </c>
      <c r="K2962" t="s">
        <v>18</v>
      </c>
      <c r="L2962" t="s">
        <v>18</v>
      </c>
      <c r="M2962" t="s">
        <v>18</v>
      </c>
    </row>
    <row r="2963" spans="1:13" x14ac:dyDescent="0.25">
      <c r="A2963" t="str">
        <f>"00597037"</f>
        <v>00597037</v>
      </c>
      <c r="B2963" t="s">
        <v>312</v>
      </c>
      <c r="C2963" t="s">
        <v>313</v>
      </c>
      <c r="D2963" t="s">
        <v>45</v>
      </c>
      <c r="E2963" t="s">
        <v>16</v>
      </c>
      <c r="F2963" t="s">
        <v>17</v>
      </c>
      <c r="G2963" t="str">
        <f>"10"</f>
        <v>10</v>
      </c>
      <c r="H2963" t="str">
        <f>"0  "</f>
        <v xml:space="preserve">0  </v>
      </c>
      <c r="I2963" t="str">
        <f>"2020/08/06"</f>
        <v>2020/08/06</v>
      </c>
      <c r="J2963" t="str">
        <f>"420"</f>
        <v>420</v>
      </c>
      <c r="K2963" t="s">
        <v>18</v>
      </c>
      <c r="L2963" t="s">
        <v>18</v>
      </c>
      <c r="M2963" t="s">
        <v>18</v>
      </c>
    </row>
    <row r="2964" spans="1:13" x14ac:dyDescent="0.25">
      <c r="A2964" t="str">
        <f>"00726014"</f>
        <v>00726014</v>
      </c>
      <c r="B2964" t="s">
        <v>314</v>
      </c>
      <c r="C2964" t="s">
        <v>49</v>
      </c>
      <c r="D2964" t="s">
        <v>16</v>
      </c>
      <c r="E2964" t="s">
        <v>16</v>
      </c>
      <c r="F2964" t="s">
        <v>17</v>
      </c>
      <c r="G2964" t="str">
        <f>"10"</f>
        <v>10</v>
      </c>
      <c r="H2964" t="str">
        <f>"3  "</f>
        <v xml:space="preserve">3  </v>
      </c>
      <c r="I2964" t="str">
        <f>"2017/08/11"</f>
        <v>2017/08/11</v>
      </c>
      <c r="J2964" t="str">
        <f>"110"</f>
        <v>110</v>
      </c>
      <c r="K2964" t="str">
        <f>"20211222"</f>
        <v>20211222</v>
      </c>
      <c r="L2964" t="s">
        <v>18</v>
      </c>
      <c r="M2964" t="str">
        <f>"20170811"</f>
        <v>20170811</v>
      </c>
    </row>
    <row r="2965" spans="1:13" x14ac:dyDescent="0.25">
      <c r="A2965" t="str">
        <f>"00596758"</f>
        <v>00596758</v>
      </c>
      <c r="B2965" t="s">
        <v>317</v>
      </c>
      <c r="C2965" t="s">
        <v>318</v>
      </c>
      <c r="D2965" t="s">
        <v>40</v>
      </c>
      <c r="E2965" t="s">
        <v>16</v>
      </c>
      <c r="F2965" t="s">
        <v>17</v>
      </c>
      <c r="G2965" t="str">
        <f>"10"</f>
        <v>10</v>
      </c>
      <c r="H2965" t="str">
        <f>"0  "</f>
        <v xml:space="preserve">0  </v>
      </c>
      <c r="I2965" t="str">
        <f>"2020/07/13"</f>
        <v>2020/07/13</v>
      </c>
      <c r="J2965" t="str">
        <f>"420"</f>
        <v>420</v>
      </c>
      <c r="K2965" t="s">
        <v>18</v>
      </c>
      <c r="L2965" t="s">
        <v>18</v>
      </c>
      <c r="M2965" t="s">
        <v>18</v>
      </c>
    </row>
    <row r="2966" spans="1:13" x14ac:dyDescent="0.25">
      <c r="A2966" t="str">
        <f>"00254571"</f>
        <v>00254571</v>
      </c>
      <c r="B2966" t="s">
        <v>323</v>
      </c>
      <c r="C2966" t="s">
        <v>22</v>
      </c>
      <c r="D2966" t="s">
        <v>61</v>
      </c>
      <c r="E2966" t="s">
        <v>26</v>
      </c>
      <c r="F2966" t="s">
        <v>17</v>
      </c>
      <c r="G2966" t="str">
        <f>"10"</f>
        <v>10</v>
      </c>
      <c r="H2966" t="str">
        <f>"0  "</f>
        <v xml:space="preserve">0  </v>
      </c>
      <c r="I2966" t="str">
        <f>"2019/11/15"</f>
        <v>2019/11/15</v>
      </c>
      <c r="J2966" t="str">
        <f>"420"</f>
        <v>420</v>
      </c>
      <c r="K2966" t="s">
        <v>18</v>
      </c>
      <c r="L2966" t="s">
        <v>18</v>
      </c>
      <c r="M2966" t="s">
        <v>18</v>
      </c>
    </row>
    <row r="2967" spans="1:13" x14ac:dyDescent="0.25">
      <c r="A2967" t="str">
        <f>"00820800"</f>
        <v>00820800</v>
      </c>
      <c r="B2967" t="s">
        <v>324</v>
      </c>
      <c r="C2967" t="s">
        <v>325</v>
      </c>
      <c r="D2967" t="s">
        <v>37</v>
      </c>
      <c r="E2967" t="s">
        <v>16</v>
      </c>
      <c r="F2967" t="s">
        <v>17</v>
      </c>
      <c r="G2967" t="str">
        <f>"10"</f>
        <v>10</v>
      </c>
      <c r="H2967" t="str">
        <f>"3  "</f>
        <v xml:space="preserve">3  </v>
      </c>
      <c r="I2967" t="str">
        <f>"2017/07/10"</f>
        <v>2017/07/10</v>
      </c>
      <c r="J2967" t="str">
        <f>"110"</f>
        <v>110</v>
      </c>
      <c r="K2967" t="str">
        <f>"20210331"</f>
        <v>20210331</v>
      </c>
      <c r="L2967" t="s">
        <v>18</v>
      </c>
      <c r="M2967" t="str">
        <f>"20170222"</f>
        <v>20170222</v>
      </c>
    </row>
    <row r="2968" spans="1:13" x14ac:dyDescent="0.25">
      <c r="A2968" t="str">
        <f>"00922724"</f>
        <v>00922724</v>
      </c>
      <c r="B2968" t="s">
        <v>334</v>
      </c>
      <c r="C2968" t="s">
        <v>218</v>
      </c>
      <c r="D2968" t="s">
        <v>25</v>
      </c>
      <c r="E2968" t="s">
        <v>16</v>
      </c>
      <c r="F2968" t="s">
        <v>17</v>
      </c>
      <c r="G2968" t="str">
        <f>"10"</f>
        <v>10</v>
      </c>
      <c r="H2968" t="str">
        <f>"0  "</f>
        <v xml:space="preserve">0  </v>
      </c>
      <c r="I2968" t="str">
        <f>"2019/12/22"</f>
        <v>2019/12/22</v>
      </c>
      <c r="J2968" t="str">
        <f>"420"</f>
        <v>420</v>
      </c>
      <c r="K2968" t="s">
        <v>18</v>
      </c>
      <c r="L2968" t="s">
        <v>18</v>
      </c>
      <c r="M2968" t="s">
        <v>18</v>
      </c>
    </row>
    <row r="2969" spans="1:13" x14ac:dyDescent="0.25">
      <c r="A2969" t="str">
        <f>"00827044"</f>
        <v>00827044</v>
      </c>
      <c r="B2969" t="s">
        <v>335</v>
      </c>
      <c r="C2969" t="s">
        <v>336</v>
      </c>
      <c r="D2969" t="s">
        <v>25</v>
      </c>
      <c r="E2969" t="s">
        <v>26</v>
      </c>
      <c r="F2969" t="s">
        <v>17</v>
      </c>
      <c r="G2969" t="str">
        <f>"10"</f>
        <v>10</v>
      </c>
      <c r="H2969" t="str">
        <f>"0  "</f>
        <v xml:space="preserve">0  </v>
      </c>
      <c r="I2969" t="str">
        <f>"2020/07/10"</f>
        <v>2020/07/10</v>
      </c>
      <c r="J2969" t="str">
        <f>"420"</f>
        <v>420</v>
      </c>
      <c r="K2969" t="s">
        <v>18</v>
      </c>
      <c r="L2969" t="s">
        <v>18</v>
      </c>
      <c r="M2969" t="s">
        <v>18</v>
      </c>
    </row>
    <row r="2970" spans="1:13" x14ac:dyDescent="0.25">
      <c r="A2970" t="str">
        <f>"00466629"</f>
        <v>00466629</v>
      </c>
      <c r="B2970" t="s">
        <v>335</v>
      </c>
      <c r="C2970" t="s">
        <v>55</v>
      </c>
      <c r="D2970" t="s">
        <v>25</v>
      </c>
      <c r="E2970" t="s">
        <v>16</v>
      </c>
      <c r="F2970" t="s">
        <v>17</v>
      </c>
      <c r="G2970" t="str">
        <f>"10"</f>
        <v>10</v>
      </c>
      <c r="H2970" t="str">
        <f>"1  "</f>
        <v xml:space="preserve">1  </v>
      </c>
      <c r="I2970" t="str">
        <f>"2020/03/18"</f>
        <v>2020/03/18</v>
      </c>
      <c r="J2970" t="str">
        <f>"120"</f>
        <v>120</v>
      </c>
      <c r="K2970" t="str">
        <f>"20201030"</f>
        <v>20201030</v>
      </c>
      <c r="L2970" t="s">
        <v>18</v>
      </c>
      <c r="M2970" t="str">
        <f>"20200305"</f>
        <v>20200305</v>
      </c>
    </row>
    <row r="2971" spans="1:13" x14ac:dyDescent="0.25">
      <c r="A2971" t="str">
        <f>"00914078"</f>
        <v>00914078</v>
      </c>
      <c r="B2971" t="s">
        <v>340</v>
      </c>
      <c r="C2971" t="s">
        <v>120</v>
      </c>
      <c r="D2971" t="s">
        <v>80</v>
      </c>
      <c r="E2971" t="s">
        <v>16</v>
      </c>
      <c r="F2971" t="s">
        <v>17</v>
      </c>
      <c r="G2971" t="str">
        <f>"10"</f>
        <v>10</v>
      </c>
      <c r="H2971" t="str">
        <f>"0  "</f>
        <v xml:space="preserve">0  </v>
      </c>
      <c r="I2971" t="str">
        <f>"2020/09/18"</f>
        <v>2020/09/18</v>
      </c>
      <c r="J2971" t="str">
        <f>"420"</f>
        <v>420</v>
      </c>
      <c r="K2971" t="s">
        <v>18</v>
      </c>
      <c r="L2971" t="s">
        <v>18</v>
      </c>
      <c r="M2971" t="s">
        <v>18</v>
      </c>
    </row>
    <row r="2972" spans="1:13" x14ac:dyDescent="0.25">
      <c r="A2972" t="str">
        <f>"00929387"</f>
        <v>00929387</v>
      </c>
      <c r="B2972" t="s">
        <v>343</v>
      </c>
      <c r="C2972" t="s">
        <v>186</v>
      </c>
      <c r="D2972" t="s">
        <v>25</v>
      </c>
      <c r="E2972" t="s">
        <v>16</v>
      </c>
      <c r="F2972" t="s">
        <v>17</v>
      </c>
      <c r="G2972" t="str">
        <f>"10"</f>
        <v>10</v>
      </c>
      <c r="H2972" t="str">
        <f>"0  "</f>
        <v xml:space="preserve">0  </v>
      </c>
      <c r="I2972" t="str">
        <f>"2020/07/29"</f>
        <v>2020/07/29</v>
      </c>
      <c r="J2972" t="str">
        <f>"420"</f>
        <v>420</v>
      </c>
      <c r="K2972" t="s">
        <v>18</v>
      </c>
      <c r="L2972" t="s">
        <v>18</v>
      </c>
      <c r="M2972" t="s">
        <v>18</v>
      </c>
    </row>
    <row r="2973" spans="1:13" x14ac:dyDescent="0.25">
      <c r="A2973" t="str">
        <f>"00907644"</f>
        <v>00907644</v>
      </c>
      <c r="B2973" t="s">
        <v>344</v>
      </c>
      <c r="C2973" t="s">
        <v>189</v>
      </c>
      <c r="D2973" t="s">
        <v>25</v>
      </c>
      <c r="E2973" t="s">
        <v>26</v>
      </c>
      <c r="F2973" t="s">
        <v>17</v>
      </c>
      <c r="G2973" t="str">
        <f>"10"</f>
        <v>10</v>
      </c>
      <c r="H2973" t="str">
        <f>"0  "</f>
        <v xml:space="preserve">0  </v>
      </c>
      <c r="I2973" t="str">
        <f>"2019/05/29"</f>
        <v>2019/05/29</v>
      </c>
      <c r="J2973" t="str">
        <f>"420"</f>
        <v>420</v>
      </c>
      <c r="K2973" t="s">
        <v>18</v>
      </c>
      <c r="L2973" t="s">
        <v>18</v>
      </c>
      <c r="M2973" t="s">
        <v>18</v>
      </c>
    </row>
    <row r="2974" spans="1:13" x14ac:dyDescent="0.25">
      <c r="A2974" t="str">
        <f>"00608702"</f>
        <v>00608702</v>
      </c>
      <c r="B2974" t="s">
        <v>368</v>
      </c>
      <c r="C2974" t="s">
        <v>370</v>
      </c>
      <c r="D2974" t="s">
        <v>26</v>
      </c>
      <c r="E2974" t="s">
        <v>26</v>
      </c>
      <c r="F2974" t="s">
        <v>17</v>
      </c>
      <c r="G2974" t="str">
        <f>"10"</f>
        <v>10</v>
      </c>
      <c r="H2974" t="str">
        <f>"3  "</f>
        <v xml:space="preserve">3  </v>
      </c>
      <c r="I2974" t="str">
        <f>"2018/04/25"</f>
        <v>2018/04/25</v>
      </c>
      <c r="J2974" t="str">
        <f>"110"</f>
        <v>110</v>
      </c>
      <c r="K2974" t="str">
        <f>"20231008"</f>
        <v>20231008</v>
      </c>
      <c r="L2974" t="s">
        <v>18</v>
      </c>
      <c r="M2974" t="str">
        <f>"20170823"</f>
        <v>20170823</v>
      </c>
    </row>
    <row r="2975" spans="1:13" x14ac:dyDescent="0.25">
      <c r="A2975" t="str">
        <f>"00863613"</f>
        <v>00863613</v>
      </c>
      <c r="B2975" t="s">
        <v>373</v>
      </c>
      <c r="C2975" t="s">
        <v>48</v>
      </c>
      <c r="D2975" t="s">
        <v>80</v>
      </c>
      <c r="E2975" t="s">
        <v>16</v>
      </c>
      <c r="F2975" t="s">
        <v>17</v>
      </c>
      <c r="G2975" t="str">
        <f>"10"</f>
        <v>10</v>
      </c>
      <c r="H2975" t="str">
        <f>"3  "</f>
        <v xml:space="preserve">3  </v>
      </c>
      <c r="I2975" t="str">
        <f>"2018/06/19"</f>
        <v>2018/06/19</v>
      </c>
      <c r="J2975" t="str">
        <f>"110"</f>
        <v>110</v>
      </c>
      <c r="K2975" t="str">
        <f>"20220328"</f>
        <v>20220328</v>
      </c>
      <c r="L2975" t="s">
        <v>18</v>
      </c>
      <c r="M2975" t="str">
        <f>"20171209"</f>
        <v>20171209</v>
      </c>
    </row>
    <row r="2976" spans="1:13" x14ac:dyDescent="0.25">
      <c r="A2976" t="str">
        <f>"00789823"</f>
        <v>00789823</v>
      </c>
      <c r="B2976" t="s">
        <v>390</v>
      </c>
      <c r="C2976" t="s">
        <v>391</v>
      </c>
      <c r="D2976" t="s">
        <v>25</v>
      </c>
      <c r="E2976" t="s">
        <v>26</v>
      </c>
      <c r="F2976" t="s">
        <v>17</v>
      </c>
      <c r="G2976" t="str">
        <f>"10"</f>
        <v>10</v>
      </c>
      <c r="H2976" t="str">
        <f>"3  "</f>
        <v xml:space="preserve">3  </v>
      </c>
      <c r="I2976" t="str">
        <f>"2016/06/13"</f>
        <v>2016/06/13</v>
      </c>
      <c r="J2976" t="str">
        <f>"110"</f>
        <v>110</v>
      </c>
      <c r="K2976" t="str">
        <f>"20210505"</f>
        <v>20210505</v>
      </c>
      <c r="L2976" t="s">
        <v>18</v>
      </c>
      <c r="M2976" t="str">
        <f>"20150402"</f>
        <v>20150402</v>
      </c>
    </row>
    <row r="2977" spans="1:13" x14ac:dyDescent="0.25">
      <c r="A2977" t="str">
        <f>"00475427"</f>
        <v>00475427</v>
      </c>
      <c r="B2977" t="s">
        <v>406</v>
      </c>
      <c r="C2977" t="s">
        <v>353</v>
      </c>
      <c r="D2977" t="s">
        <v>25</v>
      </c>
      <c r="E2977" t="s">
        <v>26</v>
      </c>
      <c r="F2977" t="s">
        <v>17</v>
      </c>
      <c r="G2977" t="str">
        <f>"10"</f>
        <v>10</v>
      </c>
      <c r="H2977" t="str">
        <f>"3  "</f>
        <v xml:space="preserve">3  </v>
      </c>
      <c r="I2977" t="str">
        <f>"2019/09/09"</f>
        <v>2019/09/09</v>
      </c>
      <c r="J2977" t="str">
        <f>"110"</f>
        <v>110</v>
      </c>
      <c r="K2977" t="str">
        <f>"20231105"</f>
        <v>20231105</v>
      </c>
      <c r="L2977" t="s">
        <v>18</v>
      </c>
      <c r="M2977" t="str">
        <f>"20190529"</f>
        <v>20190529</v>
      </c>
    </row>
    <row r="2978" spans="1:13" x14ac:dyDescent="0.25">
      <c r="A2978" t="str">
        <f>"00666691"</f>
        <v>00666691</v>
      </c>
      <c r="B2978" t="s">
        <v>406</v>
      </c>
      <c r="C2978" t="s">
        <v>411</v>
      </c>
      <c r="D2978" t="s">
        <v>25</v>
      </c>
      <c r="E2978" t="s">
        <v>26</v>
      </c>
      <c r="F2978" t="s">
        <v>17</v>
      </c>
      <c r="G2978" t="str">
        <f>"10"</f>
        <v>10</v>
      </c>
      <c r="H2978" t="str">
        <f>"0  "</f>
        <v xml:space="preserve">0  </v>
      </c>
      <c r="I2978" t="str">
        <f>"2020/07/24"</f>
        <v>2020/07/24</v>
      </c>
      <c r="J2978" t="str">
        <f>"420"</f>
        <v>420</v>
      </c>
      <c r="K2978" t="s">
        <v>18</v>
      </c>
      <c r="L2978" t="s">
        <v>18</v>
      </c>
      <c r="M2978" t="s">
        <v>18</v>
      </c>
    </row>
    <row r="2979" spans="1:13" x14ac:dyDescent="0.25">
      <c r="A2979" t="str">
        <f>"00289227"</f>
        <v>00289227</v>
      </c>
      <c r="B2979" t="s">
        <v>418</v>
      </c>
      <c r="C2979" t="s">
        <v>55</v>
      </c>
      <c r="D2979" t="s">
        <v>26</v>
      </c>
      <c r="E2979" t="s">
        <v>16</v>
      </c>
      <c r="F2979" t="s">
        <v>17</v>
      </c>
      <c r="G2979" t="str">
        <f>"10"</f>
        <v>10</v>
      </c>
      <c r="H2979" t="str">
        <f>"1  "</f>
        <v xml:space="preserve">1  </v>
      </c>
      <c r="I2979" t="str">
        <f>"2019/12/26"</f>
        <v>2019/12/26</v>
      </c>
      <c r="J2979" t="str">
        <f>"120"</f>
        <v>120</v>
      </c>
      <c r="K2979" t="str">
        <f>"20201112"</f>
        <v>20201112</v>
      </c>
      <c r="L2979" t="s">
        <v>18</v>
      </c>
      <c r="M2979" t="str">
        <f>"20191220"</f>
        <v>20191220</v>
      </c>
    </row>
    <row r="2980" spans="1:13" x14ac:dyDescent="0.25">
      <c r="A2980" t="str">
        <f>"00565222"</f>
        <v>00565222</v>
      </c>
      <c r="B2980" t="s">
        <v>419</v>
      </c>
      <c r="C2980" t="s">
        <v>420</v>
      </c>
      <c r="D2980" t="s">
        <v>15</v>
      </c>
      <c r="E2980" t="s">
        <v>26</v>
      </c>
      <c r="F2980" t="s">
        <v>17</v>
      </c>
      <c r="G2980" t="str">
        <f>"10"</f>
        <v>10</v>
      </c>
      <c r="H2980" t="str">
        <f>"0  "</f>
        <v xml:space="preserve">0  </v>
      </c>
      <c r="I2980" t="str">
        <f>"2020/08/28"</f>
        <v>2020/08/28</v>
      </c>
      <c r="J2980" t="str">
        <f>"420"</f>
        <v>420</v>
      </c>
      <c r="K2980" t="s">
        <v>18</v>
      </c>
      <c r="L2980" t="s">
        <v>18</v>
      </c>
      <c r="M2980" t="s">
        <v>18</v>
      </c>
    </row>
    <row r="2981" spans="1:13" x14ac:dyDescent="0.25">
      <c r="A2981" t="str">
        <f>"00320692"</f>
        <v>00320692</v>
      </c>
      <c r="B2981" t="s">
        <v>421</v>
      </c>
      <c r="C2981" t="s">
        <v>422</v>
      </c>
      <c r="D2981" t="s">
        <v>25</v>
      </c>
      <c r="E2981" t="s">
        <v>26</v>
      </c>
      <c r="F2981" t="s">
        <v>17</v>
      </c>
      <c r="G2981" t="str">
        <f>"10"</f>
        <v>10</v>
      </c>
      <c r="H2981" t="str">
        <f>"3  "</f>
        <v xml:space="preserve">3  </v>
      </c>
      <c r="I2981" t="str">
        <f>"2020/07/24"</f>
        <v>2020/07/24</v>
      </c>
      <c r="J2981" t="str">
        <f>"110"</f>
        <v>110</v>
      </c>
      <c r="K2981" t="str">
        <f>"20210103"</f>
        <v>20210103</v>
      </c>
      <c r="L2981" t="s">
        <v>18</v>
      </c>
      <c r="M2981" t="str">
        <f>"20190305"</f>
        <v>20190305</v>
      </c>
    </row>
    <row r="2982" spans="1:13" x14ac:dyDescent="0.25">
      <c r="A2982" t="str">
        <f>"00559892"</f>
        <v>00559892</v>
      </c>
      <c r="B2982" t="s">
        <v>429</v>
      </c>
      <c r="C2982" t="s">
        <v>430</v>
      </c>
      <c r="D2982" t="s">
        <v>53</v>
      </c>
      <c r="E2982" t="s">
        <v>26</v>
      </c>
      <c r="F2982" t="s">
        <v>17</v>
      </c>
      <c r="G2982" t="str">
        <f>"10"</f>
        <v>10</v>
      </c>
      <c r="H2982" t="str">
        <f>"0  "</f>
        <v xml:space="preserve">0  </v>
      </c>
      <c r="I2982" t="str">
        <f>"2020/01/29"</f>
        <v>2020/01/29</v>
      </c>
      <c r="J2982" t="str">
        <f>"420"</f>
        <v>420</v>
      </c>
      <c r="K2982" t="s">
        <v>18</v>
      </c>
      <c r="L2982" t="s">
        <v>18</v>
      </c>
      <c r="M2982" t="s">
        <v>18</v>
      </c>
    </row>
    <row r="2983" spans="1:13" x14ac:dyDescent="0.25">
      <c r="A2983" t="str">
        <f>"00583846"</f>
        <v>00583846</v>
      </c>
      <c r="B2983" t="s">
        <v>431</v>
      </c>
      <c r="C2983" t="s">
        <v>432</v>
      </c>
      <c r="D2983" t="s">
        <v>25</v>
      </c>
      <c r="E2983" t="s">
        <v>26</v>
      </c>
      <c r="F2983" t="s">
        <v>17</v>
      </c>
      <c r="G2983" t="str">
        <f>"10"</f>
        <v>10</v>
      </c>
      <c r="H2983" t="str">
        <f>"3  "</f>
        <v xml:space="preserve">3  </v>
      </c>
      <c r="I2983" t="str">
        <f>"2020/02/19"</f>
        <v>2020/02/19</v>
      </c>
      <c r="J2983" t="str">
        <f>"503"</f>
        <v>503</v>
      </c>
      <c r="K2983" t="str">
        <f>"20210303"</f>
        <v>20210303</v>
      </c>
      <c r="L2983" t="s">
        <v>18</v>
      </c>
      <c r="M2983" t="str">
        <f>"20190617"</f>
        <v>20190617</v>
      </c>
    </row>
    <row r="2984" spans="1:13" x14ac:dyDescent="0.25">
      <c r="A2984" t="str">
        <f>"00259191"</f>
        <v>00259191</v>
      </c>
      <c r="B2984" t="s">
        <v>436</v>
      </c>
      <c r="C2984" t="s">
        <v>437</v>
      </c>
      <c r="D2984" t="s">
        <v>25</v>
      </c>
      <c r="E2984" t="s">
        <v>26</v>
      </c>
      <c r="F2984" t="s">
        <v>17</v>
      </c>
      <c r="G2984" t="str">
        <f>"10"</f>
        <v>10</v>
      </c>
      <c r="H2984" t="str">
        <f>"3  "</f>
        <v xml:space="preserve">3  </v>
      </c>
      <c r="I2984" t="str">
        <f>"2020/02/12"</f>
        <v>2020/02/12</v>
      </c>
      <c r="J2984" t="str">
        <f>"502"</f>
        <v>502</v>
      </c>
      <c r="K2984" t="str">
        <f>"20210217"</f>
        <v>20210217</v>
      </c>
      <c r="L2984" t="s">
        <v>18</v>
      </c>
      <c r="M2984" t="str">
        <f>"20070925"</f>
        <v>20070925</v>
      </c>
    </row>
    <row r="2985" spans="1:13" x14ac:dyDescent="0.25">
      <c r="A2985" t="str">
        <f>"00155242"</f>
        <v>00155242</v>
      </c>
      <c r="B2985" t="s">
        <v>440</v>
      </c>
      <c r="C2985" t="s">
        <v>125</v>
      </c>
      <c r="D2985" t="s">
        <v>16</v>
      </c>
      <c r="E2985" t="s">
        <v>16</v>
      </c>
      <c r="F2985" t="s">
        <v>17</v>
      </c>
      <c r="G2985" t="str">
        <f>"10"</f>
        <v>10</v>
      </c>
      <c r="H2985" t="str">
        <f>"1  "</f>
        <v xml:space="preserve">1  </v>
      </c>
      <c r="I2985" t="str">
        <f>"2020/07/31"</f>
        <v>2020/07/31</v>
      </c>
      <c r="J2985" t="str">
        <f>"512"</f>
        <v>512</v>
      </c>
      <c r="K2985" t="str">
        <f>"20210103"</f>
        <v>20210103</v>
      </c>
      <c r="L2985" t="s">
        <v>18</v>
      </c>
      <c r="M2985" t="str">
        <f>"20200716"</f>
        <v>20200716</v>
      </c>
    </row>
    <row r="2986" spans="1:13" x14ac:dyDescent="0.25">
      <c r="A2986" t="str">
        <f>"00225991"</f>
        <v>00225991</v>
      </c>
      <c r="B2986" t="s">
        <v>448</v>
      </c>
      <c r="C2986" t="s">
        <v>72</v>
      </c>
      <c r="D2986" t="s">
        <v>61</v>
      </c>
      <c r="E2986" t="s">
        <v>26</v>
      </c>
      <c r="F2986" t="s">
        <v>17</v>
      </c>
      <c r="G2986" t="str">
        <f>"10"</f>
        <v>10</v>
      </c>
      <c r="H2986" t="str">
        <f>"0  "</f>
        <v xml:space="preserve">0  </v>
      </c>
      <c r="I2986" t="str">
        <f>"2019/11/04"</f>
        <v>2019/11/04</v>
      </c>
      <c r="J2986" t="str">
        <f>"420"</f>
        <v>420</v>
      </c>
      <c r="K2986" t="s">
        <v>18</v>
      </c>
      <c r="L2986" t="s">
        <v>18</v>
      </c>
      <c r="M2986" t="s">
        <v>18</v>
      </c>
    </row>
    <row r="2987" spans="1:13" x14ac:dyDescent="0.25">
      <c r="A2987" t="str">
        <f>"00641808"</f>
        <v>00641808</v>
      </c>
      <c r="B2987" t="s">
        <v>448</v>
      </c>
      <c r="C2987" t="s">
        <v>452</v>
      </c>
      <c r="D2987" t="s">
        <v>25</v>
      </c>
      <c r="E2987" t="s">
        <v>26</v>
      </c>
      <c r="F2987" t="s">
        <v>17</v>
      </c>
      <c r="G2987" t="str">
        <f>"10"</f>
        <v>10</v>
      </c>
      <c r="H2987" t="str">
        <f>"0  "</f>
        <v xml:space="preserve">0  </v>
      </c>
      <c r="I2987" t="str">
        <f>"2019/08/16"</f>
        <v>2019/08/16</v>
      </c>
      <c r="J2987" t="str">
        <f>"420"</f>
        <v>420</v>
      </c>
      <c r="K2987" t="s">
        <v>18</v>
      </c>
      <c r="L2987" t="s">
        <v>18</v>
      </c>
      <c r="M2987" t="s">
        <v>18</v>
      </c>
    </row>
    <row r="2988" spans="1:13" x14ac:dyDescent="0.25">
      <c r="A2988" t="str">
        <f>"00187093"</f>
        <v>00187093</v>
      </c>
      <c r="B2988" t="s">
        <v>459</v>
      </c>
      <c r="C2988" t="s">
        <v>74</v>
      </c>
      <c r="D2988" t="s">
        <v>73</v>
      </c>
      <c r="E2988" t="s">
        <v>16</v>
      </c>
      <c r="F2988" t="s">
        <v>17</v>
      </c>
      <c r="G2988" t="str">
        <f>"10"</f>
        <v>10</v>
      </c>
      <c r="H2988" t="str">
        <f>"0  "</f>
        <v xml:space="preserve">0  </v>
      </c>
      <c r="I2988" t="str">
        <f>"2019/12/23"</f>
        <v>2019/12/23</v>
      </c>
      <c r="J2988" t="str">
        <f>"420"</f>
        <v>420</v>
      </c>
      <c r="K2988" t="s">
        <v>18</v>
      </c>
      <c r="L2988" t="s">
        <v>18</v>
      </c>
      <c r="M2988" t="s">
        <v>18</v>
      </c>
    </row>
    <row r="2989" spans="1:13" x14ac:dyDescent="0.25">
      <c r="A2989" t="str">
        <f>"00804644"</f>
        <v>00804644</v>
      </c>
      <c r="B2989" t="s">
        <v>461</v>
      </c>
      <c r="C2989" t="s">
        <v>462</v>
      </c>
      <c r="D2989" t="s">
        <v>25</v>
      </c>
      <c r="E2989" t="s">
        <v>26</v>
      </c>
      <c r="F2989" t="s">
        <v>17</v>
      </c>
      <c r="G2989" t="str">
        <f>"10"</f>
        <v>10</v>
      </c>
      <c r="H2989" t="str">
        <f>"0  "</f>
        <v xml:space="preserve">0  </v>
      </c>
      <c r="I2989" t="str">
        <f>"2018/09/21"</f>
        <v>2018/09/21</v>
      </c>
      <c r="J2989" t="str">
        <f>"420"</f>
        <v>420</v>
      </c>
      <c r="K2989" t="s">
        <v>18</v>
      </c>
      <c r="L2989" t="s">
        <v>18</v>
      </c>
      <c r="M2989" t="s">
        <v>18</v>
      </c>
    </row>
    <row r="2990" spans="1:13" x14ac:dyDescent="0.25">
      <c r="A2990" t="str">
        <f>"00577725"</f>
        <v>00577725</v>
      </c>
      <c r="B2990" t="s">
        <v>464</v>
      </c>
      <c r="C2990" t="s">
        <v>55</v>
      </c>
      <c r="D2990" t="s">
        <v>47</v>
      </c>
      <c r="E2990" t="s">
        <v>26</v>
      </c>
      <c r="F2990" t="s">
        <v>17</v>
      </c>
      <c r="G2990" t="str">
        <f>"10"</f>
        <v>10</v>
      </c>
      <c r="H2990" t="str">
        <f>"0  "</f>
        <v xml:space="preserve">0  </v>
      </c>
      <c r="I2990" t="str">
        <f>"2020/09/06"</f>
        <v>2020/09/06</v>
      </c>
      <c r="J2990" t="str">
        <f>"420"</f>
        <v>420</v>
      </c>
      <c r="K2990" t="s">
        <v>18</v>
      </c>
      <c r="L2990" t="s">
        <v>18</v>
      </c>
      <c r="M2990" t="s">
        <v>18</v>
      </c>
    </row>
    <row r="2991" spans="1:13" x14ac:dyDescent="0.25">
      <c r="A2991" t="str">
        <f>"00298048"</f>
        <v>00298048</v>
      </c>
      <c r="B2991" t="s">
        <v>481</v>
      </c>
      <c r="C2991" t="s">
        <v>181</v>
      </c>
      <c r="D2991" t="s">
        <v>51</v>
      </c>
      <c r="E2991" t="s">
        <v>26</v>
      </c>
      <c r="F2991" t="s">
        <v>17</v>
      </c>
      <c r="G2991" t="str">
        <f>"10"</f>
        <v>10</v>
      </c>
      <c r="H2991" t="str">
        <f>"3  "</f>
        <v xml:space="preserve">3  </v>
      </c>
      <c r="I2991" t="str">
        <f>"2013/02/12"</f>
        <v>2013/02/12</v>
      </c>
      <c r="J2991" t="str">
        <f>"110"</f>
        <v>110</v>
      </c>
      <c r="K2991" t="str">
        <f>"20220925"</f>
        <v>20220925</v>
      </c>
      <c r="L2991" t="s">
        <v>18</v>
      </c>
      <c r="M2991" t="str">
        <f>"20121004"</f>
        <v>20121004</v>
      </c>
    </row>
    <row r="2992" spans="1:13" x14ac:dyDescent="0.25">
      <c r="A2992" t="str">
        <f>"00750954"</f>
        <v>00750954</v>
      </c>
      <c r="B2992" t="s">
        <v>481</v>
      </c>
      <c r="C2992" t="s">
        <v>482</v>
      </c>
      <c r="D2992" t="s">
        <v>53</v>
      </c>
      <c r="E2992" t="s">
        <v>26</v>
      </c>
      <c r="F2992" t="s">
        <v>17</v>
      </c>
      <c r="G2992" t="str">
        <f>"10"</f>
        <v>10</v>
      </c>
      <c r="H2992" t="str">
        <f>"0  "</f>
        <v xml:space="preserve">0  </v>
      </c>
      <c r="I2992" t="str">
        <f>"2020/03/18"</f>
        <v>2020/03/18</v>
      </c>
      <c r="J2992" t="str">
        <f>"420"</f>
        <v>420</v>
      </c>
      <c r="K2992" t="s">
        <v>18</v>
      </c>
      <c r="L2992" t="s">
        <v>18</v>
      </c>
      <c r="M2992" t="s">
        <v>18</v>
      </c>
    </row>
    <row r="2993" spans="1:13" x14ac:dyDescent="0.25">
      <c r="A2993" t="str">
        <f>"00262511"</f>
        <v>00262511</v>
      </c>
      <c r="B2993" t="s">
        <v>489</v>
      </c>
      <c r="C2993" t="s">
        <v>159</v>
      </c>
      <c r="D2993" t="s">
        <v>25</v>
      </c>
      <c r="E2993" t="s">
        <v>16</v>
      </c>
      <c r="F2993" t="s">
        <v>17</v>
      </c>
      <c r="G2993" t="str">
        <f>"10"</f>
        <v>10</v>
      </c>
      <c r="H2993" t="str">
        <f>"1  "</f>
        <v xml:space="preserve">1  </v>
      </c>
      <c r="I2993" t="str">
        <f>"2020/07/31"</f>
        <v>2020/07/31</v>
      </c>
      <c r="J2993" t="str">
        <f>"110"</f>
        <v>110</v>
      </c>
      <c r="K2993" t="str">
        <f>"20201022"</f>
        <v>20201022</v>
      </c>
      <c r="L2993" t="s">
        <v>18</v>
      </c>
      <c r="M2993" t="str">
        <f>"20200723"</f>
        <v>20200723</v>
      </c>
    </row>
    <row r="2994" spans="1:13" x14ac:dyDescent="0.25">
      <c r="A2994" t="str">
        <f>"00580983"</f>
        <v>00580983</v>
      </c>
      <c r="B2994" t="s">
        <v>495</v>
      </c>
      <c r="C2994" t="s">
        <v>96</v>
      </c>
      <c r="D2994" t="s">
        <v>16</v>
      </c>
      <c r="E2994" t="s">
        <v>16</v>
      </c>
      <c r="F2994" t="s">
        <v>17</v>
      </c>
      <c r="G2994" t="str">
        <f>"10"</f>
        <v>10</v>
      </c>
      <c r="H2994" t="str">
        <f>"3  "</f>
        <v xml:space="preserve">3  </v>
      </c>
      <c r="I2994" t="str">
        <f>"2017/12/11"</f>
        <v>2017/12/11</v>
      </c>
      <c r="J2994" t="str">
        <f>"110"</f>
        <v>110</v>
      </c>
      <c r="K2994" t="str">
        <f>"20220410"</f>
        <v>20220410</v>
      </c>
      <c r="L2994" t="s">
        <v>18</v>
      </c>
      <c r="M2994" t="str">
        <f>"20170321"</f>
        <v>20170321</v>
      </c>
    </row>
    <row r="2995" spans="1:13" x14ac:dyDescent="0.25">
      <c r="A2995" t="str">
        <f>"00936942"</f>
        <v>00936942</v>
      </c>
      <c r="B2995" t="s">
        <v>496</v>
      </c>
      <c r="C2995" t="s">
        <v>497</v>
      </c>
      <c r="D2995" t="s">
        <v>25</v>
      </c>
      <c r="E2995" t="s">
        <v>16</v>
      </c>
      <c r="F2995" t="s">
        <v>17</v>
      </c>
      <c r="G2995" t="str">
        <f>"10"</f>
        <v>10</v>
      </c>
      <c r="H2995" t="str">
        <f>"0  "</f>
        <v xml:space="preserve">0  </v>
      </c>
      <c r="I2995" t="str">
        <f>"2020/09/14"</f>
        <v>2020/09/14</v>
      </c>
      <c r="J2995" t="str">
        <f>"420"</f>
        <v>420</v>
      </c>
      <c r="K2995" t="s">
        <v>18</v>
      </c>
      <c r="L2995" t="s">
        <v>18</v>
      </c>
      <c r="M2995" t="s">
        <v>18</v>
      </c>
    </row>
    <row r="2996" spans="1:13" x14ac:dyDescent="0.25">
      <c r="A2996" t="str">
        <f>"00651973"</f>
        <v>00651973</v>
      </c>
      <c r="B2996" t="s">
        <v>498</v>
      </c>
      <c r="C2996" t="s">
        <v>59</v>
      </c>
      <c r="D2996" t="s">
        <v>31</v>
      </c>
      <c r="E2996" t="s">
        <v>26</v>
      </c>
      <c r="F2996" t="s">
        <v>17</v>
      </c>
      <c r="G2996" t="str">
        <f>"10"</f>
        <v>10</v>
      </c>
      <c r="H2996" t="str">
        <f>"1  "</f>
        <v xml:space="preserve">1  </v>
      </c>
      <c r="I2996" t="str">
        <f>"2020/09/17"</f>
        <v>2020/09/17</v>
      </c>
      <c r="J2996" t="str">
        <f>"120"</f>
        <v>120</v>
      </c>
      <c r="K2996" t="str">
        <f>"20201003"</f>
        <v>20201003</v>
      </c>
      <c r="L2996" t="s">
        <v>18</v>
      </c>
      <c r="M2996" t="str">
        <f>"20200809"</f>
        <v>20200809</v>
      </c>
    </row>
    <row r="2997" spans="1:13" x14ac:dyDescent="0.25">
      <c r="A2997" t="str">
        <f>"00397959"</f>
        <v>00397959</v>
      </c>
      <c r="B2997" t="s">
        <v>500</v>
      </c>
      <c r="C2997" t="s">
        <v>125</v>
      </c>
      <c r="D2997" t="s">
        <v>53</v>
      </c>
      <c r="E2997" t="s">
        <v>16</v>
      </c>
      <c r="F2997" t="s">
        <v>17</v>
      </c>
      <c r="G2997" t="str">
        <f>"10"</f>
        <v>10</v>
      </c>
      <c r="H2997" t="str">
        <f>"3  "</f>
        <v xml:space="preserve">3  </v>
      </c>
      <c r="I2997" t="str">
        <f>"2020/01/08"</f>
        <v>2020/01/08</v>
      </c>
      <c r="J2997" t="str">
        <f>"120"</f>
        <v>120</v>
      </c>
      <c r="K2997" t="str">
        <f>"20211007"</f>
        <v>20211007</v>
      </c>
      <c r="L2997" t="s">
        <v>18</v>
      </c>
      <c r="M2997" t="str">
        <f>"20191212"</f>
        <v>20191212</v>
      </c>
    </row>
    <row r="2998" spans="1:13" x14ac:dyDescent="0.25">
      <c r="A2998" t="str">
        <f>"00229657"</f>
        <v>00229657</v>
      </c>
      <c r="B2998" t="s">
        <v>501</v>
      </c>
      <c r="C2998" t="s">
        <v>191</v>
      </c>
      <c r="D2998" t="s">
        <v>51</v>
      </c>
      <c r="E2998" t="s">
        <v>26</v>
      </c>
      <c r="F2998" t="s">
        <v>17</v>
      </c>
      <c r="G2998" t="str">
        <f>"10"</f>
        <v>10</v>
      </c>
      <c r="H2998" t="str">
        <f>"3  "</f>
        <v xml:space="preserve">3  </v>
      </c>
      <c r="I2998" t="str">
        <f>"2017/04/28"</f>
        <v>2017/04/28</v>
      </c>
      <c r="J2998" t="str">
        <f>"110"</f>
        <v>110</v>
      </c>
      <c r="K2998" t="str">
        <f>"20210915"</f>
        <v>20210915</v>
      </c>
      <c r="L2998" t="s">
        <v>18</v>
      </c>
      <c r="M2998" t="str">
        <f>"20161005"</f>
        <v>20161005</v>
      </c>
    </row>
    <row r="2999" spans="1:13" x14ac:dyDescent="0.25">
      <c r="A2999" t="str">
        <f>"00654885"</f>
        <v>00654885</v>
      </c>
      <c r="B2999" t="s">
        <v>504</v>
      </c>
      <c r="C2999" t="s">
        <v>55</v>
      </c>
      <c r="D2999" t="s">
        <v>53</v>
      </c>
      <c r="E2999" t="s">
        <v>16</v>
      </c>
      <c r="F2999" t="s">
        <v>17</v>
      </c>
      <c r="G2999" t="str">
        <f>"10"</f>
        <v>10</v>
      </c>
      <c r="H2999" t="str">
        <f>"0  "</f>
        <v xml:space="preserve">0  </v>
      </c>
      <c r="I2999" t="str">
        <f>"2020/09/16"</f>
        <v>2020/09/16</v>
      </c>
      <c r="J2999" t="str">
        <f>"420"</f>
        <v>420</v>
      </c>
      <c r="K2999" t="s">
        <v>18</v>
      </c>
      <c r="L2999" t="s">
        <v>18</v>
      </c>
      <c r="M2999" t="s">
        <v>18</v>
      </c>
    </row>
    <row r="3000" spans="1:13" x14ac:dyDescent="0.25">
      <c r="A3000" t="str">
        <f>"00462003"</f>
        <v>00462003</v>
      </c>
      <c r="B3000" t="s">
        <v>505</v>
      </c>
      <c r="C3000" t="s">
        <v>358</v>
      </c>
      <c r="D3000" t="s">
        <v>25</v>
      </c>
      <c r="E3000" t="s">
        <v>26</v>
      </c>
      <c r="F3000" t="s">
        <v>17</v>
      </c>
      <c r="G3000" t="str">
        <f>"10"</f>
        <v>10</v>
      </c>
      <c r="H3000" t="str">
        <f>"3  "</f>
        <v xml:space="preserve">3  </v>
      </c>
      <c r="I3000" t="str">
        <f>"2018/11/07"</f>
        <v>2018/11/07</v>
      </c>
      <c r="J3000" t="str">
        <f>"110"</f>
        <v>110</v>
      </c>
      <c r="K3000" t="str">
        <f>"20230403"</f>
        <v>20230403</v>
      </c>
      <c r="L3000" t="s">
        <v>18</v>
      </c>
      <c r="M3000" t="str">
        <f>"20181107"</f>
        <v>20181107</v>
      </c>
    </row>
    <row r="3001" spans="1:13" x14ac:dyDescent="0.25">
      <c r="A3001" t="str">
        <f>"00658955"</f>
        <v>00658955</v>
      </c>
      <c r="B3001" t="s">
        <v>506</v>
      </c>
      <c r="C3001" t="s">
        <v>72</v>
      </c>
      <c r="D3001" t="s">
        <v>47</v>
      </c>
      <c r="E3001" t="s">
        <v>16</v>
      </c>
      <c r="F3001" t="s">
        <v>17</v>
      </c>
      <c r="G3001" t="str">
        <f>"10"</f>
        <v>10</v>
      </c>
      <c r="H3001" t="str">
        <f>"3  "</f>
        <v xml:space="preserve">3  </v>
      </c>
      <c r="I3001" t="str">
        <f>"2017/12/20"</f>
        <v>2017/12/20</v>
      </c>
      <c r="J3001" t="str">
        <f>"120"</f>
        <v>120</v>
      </c>
      <c r="K3001" t="str">
        <f>"20240618"</f>
        <v>20240618</v>
      </c>
      <c r="L3001" t="s">
        <v>18</v>
      </c>
      <c r="M3001" t="str">
        <f>"20171130"</f>
        <v>20171130</v>
      </c>
    </row>
    <row r="3002" spans="1:13" x14ac:dyDescent="0.25">
      <c r="A3002" t="str">
        <f>"00693732"</f>
        <v>00693732</v>
      </c>
      <c r="B3002" t="s">
        <v>507</v>
      </c>
      <c r="C3002" t="s">
        <v>74</v>
      </c>
      <c r="D3002" t="s">
        <v>80</v>
      </c>
      <c r="E3002" t="s">
        <v>16</v>
      </c>
      <c r="F3002" t="s">
        <v>17</v>
      </c>
      <c r="G3002" t="str">
        <f>"10"</f>
        <v>10</v>
      </c>
      <c r="H3002" t="str">
        <f>"0  "</f>
        <v xml:space="preserve">0  </v>
      </c>
      <c r="I3002" t="str">
        <f>"2020/02/25"</f>
        <v>2020/02/25</v>
      </c>
      <c r="J3002" t="str">
        <f>"420"</f>
        <v>420</v>
      </c>
      <c r="K3002" t="s">
        <v>18</v>
      </c>
      <c r="L3002" t="s">
        <v>18</v>
      </c>
      <c r="M3002" t="s">
        <v>18</v>
      </c>
    </row>
    <row r="3003" spans="1:13" x14ac:dyDescent="0.25">
      <c r="A3003" t="str">
        <f>"00736655"</f>
        <v>00736655</v>
      </c>
      <c r="B3003" t="s">
        <v>511</v>
      </c>
      <c r="C3003" t="s">
        <v>512</v>
      </c>
      <c r="D3003" t="s">
        <v>15</v>
      </c>
      <c r="E3003" t="s">
        <v>26</v>
      </c>
      <c r="F3003" t="s">
        <v>17</v>
      </c>
      <c r="G3003" t="str">
        <f>"10"</f>
        <v>10</v>
      </c>
      <c r="H3003" t="str">
        <f>"0  "</f>
        <v xml:space="preserve">0  </v>
      </c>
      <c r="I3003" t="str">
        <f>"2019/10/16"</f>
        <v>2019/10/16</v>
      </c>
      <c r="J3003" t="str">
        <f>"420"</f>
        <v>420</v>
      </c>
      <c r="K3003" t="s">
        <v>18</v>
      </c>
      <c r="L3003" t="s">
        <v>18</v>
      </c>
      <c r="M3003" t="s">
        <v>18</v>
      </c>
    </row>
    <row r="3004" spans="1:13" x14ac:dyDescent="0.25">
      <c r="A3004" t="str">
        <f>"00776504"</f>
        <v>00776504</v>
      </c>
      <c r="B3004" t="s">
        <v>515</v>
      </c>
      <c r="C3004" t="s">
        <v>516</v>
      </c>
      <c r="D3004" t="s">
        <v>215</v>
      </c>
      <c r="E3004" t="s">
        <v>16</v>
      </c>
      <c r="F3004" t="s">
        <v>17</v>
      </c>
      <c r="G3004" t="str">
        <f>"10"</f>
        <v>10</v>
      </c>
      <c r="H3004" t="str">
        <f>"0  "</f>
        <v xml:space="preserve">0  </v>
      </c>
      <c r="I3004" t="str">
        <f>"2020/03/17"</f>
        <v>2020/03/17</v>
      </c>
      <c r="J3004" t="str">
        <f>"503"</f>
        <v>503</v>
      </c>
      <c r="K3004" t="s">
        <v>18</v>
      </c>
      <c r="L3004" t="s">
        <v>18</v>
      </c>
      <c r="M3004" t="s">
        <v>18</v>
      </c>
    </row>
    <row r="3005" spans="1:13" x14ac:dyDescent="0.25">
      <c r="A3005" t="str">
        <f>"00737371"</f>
        <v>00737371</v>
      </c>
      <c r="B3005" t="s">
        <v>517</v>
      </c>
      <c r="C3005" t="s">
        <v>518</v>
      </c>
      <c r="D3005" t="s">
        <v>25</v>
      </c>
      <c r="E3005" t="s">
        <v>26</v>
      </c>
      <c r="F3005" t="s">
        <v>17</v>
      </c>
      <c r="G3005" t="str">
        <f>"10"</f>
        <v>10</v>
      </c>
      <c r="H3005" t="str">
        <f>"3  "</f>
        <v xml:space="preserve">3  </v>
      </c>
      <c r="I3005" t="str">
        <f>"2020/06/05"</f>
        <v>2020/06/05</v>
      </c>
      <c r="J3005" t="str">
        <f>"110"</f>
        <v>110</v>
      </c>
      <c r="K3005" t="str">
        <f>"20220711"</f>
        <v>20220711</v>
      </c>
      <c r="L3005" t="s">
        <v>18</v>
      </c>
      <c r="M3005" t="str">
        <f>"20191016"</f>
        <v>20191016</v>
      </c>
    </row>
    <row r="3006" spans="1:13" x14ac:dyDescent="0.25">
      <c r="A3006" t="str">
        <f>"00232743"</f>
        <v>00232743</v>
      </c>
      <c r="B3006" t="s">
        <v>519</v>
      </c>
      <c r="C3006" t="s">
        <v>308</v>
      </c>
      <c r="D3006" t="s">
        <v>15</v>
      </c>
      <c r="E3006" t="s">
        <v>16</v>
      </c>
      <c r="F3006" t="s">
        <v>17</v>
      </c>
      <c r="G3006" t="str">
        <f>"10"</f>
        <v>10</v>
      </c>
      <c r="H3006" t="str">
        <f>"3  "</f>
        <v xml:space="preserve">3  </v>
      </c>
      <c r="I3006" t="str">
        <f>"2017/09/21"</f>
        <v>2017/09/21</v>
      </c>
      <c r="J3006" t="str">
        <f>"110"</f>
        <v>110</v>
      </c>
      <c r="K3006" t="str">
        <f>"20210404"</f>
        <v>20210404</v>
      </c>
      <c r="L3006" t="s">
        <v>18</v>
      </c>
      <c r="M3006" t="str">
        <f>"20170408"</f>
        <v>20170408</v>
      </c>
    </row>
    <row r="3007" spans="1:13" x14ac:dyDescent="0.25">
      <c r="A3007" t="str">
        <f>"00215147"</f>
        <v>00215147</v>
      </c>
      <c r="B3007" t="s">
        <v>523</v>
      </c>
      <c r="C3007" t="s">
        <v>524</v>
      </c>
      <c r="D3007" t="s">
        <v>21</v>
      </c>
      <c r="E3007" t="s">
        <v>26</v>
      </c>
      <c r="F3007" t="s">
        <v>17</v>
      </c>
      <c r="G3007" t="str">
        <f>"10"</f>
        <v>10</v>
      </c>
      <c r="H3007" t="str">
        <f>"0  "</f>
        <v xml:space="preserve">0  </v>
      </c>
      <c r="I3007" t="str">
        <f>"2018/09/28"</f>
        <v>2018/09/28</v>
      </c>
      <c r="J3007" t="str">
        <f>"420"</f>
        <v>420</v>
      </c>
      <c r="K3007" t="s">
        <v>18</v>
      </c>
      <c r="L3007" t="s">
        <v>18</v>
      </c>
      <c r="M3007" t="s">
        <v>18</v>
      </c>
    </row>
    <row r="3008" spans="1:13" x14ac:dyDescent="0.25">
      <c r="A3008" t="str">
        <f>"00512367"</f>
        <v>00512367</v>
      </c>
      <c r="B3008" t="s">
        <v>528</v>
      </c>
      <c r="C3008" t="s">
        <v>327</v>
      </c>
      <c r="D3008" t="s">
        <v>40</v>
      </c>
      <c r="E3008" t="s">
        <v>26</v>
      </c>
      <c r="F3008" t="s">
        <v>17</v>
      </c>
      <c r="G3008" t="str">
        <f>"10"</f>
        <v>10</v>
      </c>
      <c r="H3008" t="str">
        <f>"0  "</f>
        <v xml:space="preserve">0  </v>
      </c>
      <c r="I3008" t="str">
        <f>"2020/06/02"</f>
        <v>2020/06/02</v>
      </c>
      <c r="J3008" t="str">
        <f>"420"</f>
        <v>420</v>
      </c>
      <c r="K3008" t="s">
        <v>18</v>
      </c>
      <c r="L3008" t="s">
        <v>18</v>
      </c>
      <c r="M3008" t="s">
        <v>18</v>
      </c>
    </row>
    <row r="3009" spans="1:13" x14ac:dyDescent="0.25">
      <c r="A3009" t="str">
        <f>"00431794"</f>
        <v>00431794</v>
      </c>
      <c r="B3009" t="s">
        <v>535</v>
      </c>
      <c r="C3009" t="s">
        <v>96</v>
      </c>
      <c r="D3009" t="s">
        <v>15</v>
      </c>
      <c r="E3009" t="s">
        <v>26</v>
      </c>
      <c r="F3009" t="s">
        <v>17</v>
      </c>
      <c r="G3009" t="str">
        <f>"10"</f>
        <v>10</v>
      </c>
      <c r="H3009" t="str">
        <f>"3  "</f>
        <v xml:space="preserve">3  </v>
      </c>
      <c r="I3009" t="str">
        <f>"2018/11/27"</f>
        <v>2018/11/27</v>
      </c>
      <c r="J3009" t="str">
        <f>"110"</f>
        <v>110</v>
      </c>
      <c r="K3009" t="str">
        <f>"20240811"</f>
        <v>20240811</v>
      </c>
      <c r="L3009" t="s">
        <v>18</v>
      </c>
      <c r="M3009" t="str">
        <f>"20180704"</f>
        <v>20180704</v>
      </c>
    </row>
    <row r="3010" spans="1:13" x14ac:dyDescent="0.25">
      <c r="A3010" t="str">
        <f>"00275460"</f>
        <v>00275460</v>
      </c>
      <c r="B3010" t="s">
        <v>535</v>
      </c>
      <c r="C3010" t="s">
        <v>358</v>
      </c>
      <c r="D3010" t="s">
        <v>51</v>
      </c>
      <c r="E3010" t="s">
        <v>26</v>
      </c>
      <c r="F3010" t="s">
        <v>17</v>
      </c>
      <c r="G3010" t="str">
        <f>"10"</f>
        <v>10</v>
      </c>
      <c r="H3010" t="str">
        <f>"3  "</f>
        <v xml:space="preserve">3  </v>
      </c>
      <c r="I3010" t="str">
        <f>"2015/07/21"</f>
        <v>2015/07/21</v>
      </c>
      <c r="J3010" t="str">
        <f>"110"</f>
        <v>110</v>
      </c>
      <c r="K3010" t="str">
        <f>"20221002"</f>
        <v>20221002</v>
      </c>
      <c r="L3010" t="s">
        <v>18</v>
      </c>
      <c r="M3010" t="str">
        <f>"20140517"</f>
        <v>20140517</v>
      </c>
    </row>
    <row r="3011" spans="1:13" x14ac:dyDescent="0.25">
      <c r="A3011" t="str">
        <f>"00902205"</f>
        <v>00902205</v>
      </c>
      <c r="B3011" t="s">
        <v>539</v>
      </c>
      <c r="C3011" t="s">
        <v>540</v>
      </c>
      <c r="D3011" t="s">
        <v>37</v>
      </c>
      <c r="E3011" t="s">
        <v>26</v>
      </c>
      <c r="F3011" t="s">
        <v>17</v>
      </c>
      <c r="G3011" t="str">
        <f>"10"</f>
        <v>10</v>
      </c>
      <c r="H3011" t="str">
        <f>"3  "</f>
        <v xml:space="preserve">3  </v>
      </c>
      <c r="I3011" t="str">
        <f>"2020/09/11"</f>
        <v>2020/09/11</v>
      </c>
      <c r="J3011" t="str">
        <f>"110"</f>
        <v>110</v>
      </c>
      <c r="K3011" t="str">
        <f>"20211210"</f>
        <v>20211210</v>
      </c>
      <c r="L3011" t="s">
        <v>18</v>
      </c>
      <c r="M3011" t="str">
        <f>"20190317"</f>
        <v>20190317</v>
      </c>
    </row>
    <row r="3012" spans="1:13" x14ac:dyDescent="0.25">
      <c r="A3012" t="str">
        <f>"00361265"</f>
        <v>00361265</v>
      </c>
      <c r="B3012" t="s">
        <v>546</v>
      </c>
      <c r="C3012" t="s">
        <v>55</v>
      </c>
      <c r="D3012" t="s">
        <v>45</v>
      </c>
      <c r="E3012" t="s">
        <v>26</v>
      </c>
      <c r="F3012" t="s">
        <v>17</v>
      </c>
      <c r="G3012" t="str">
        <f>"10"</f>
        <v>10</v>
      </c>
      <c r="H3012" t="str">
        <f>"3  "</f>
        <v xml:space="preserve">3  </v>
      </c>
      <c r="I3012" t="str">
        <f>"2016/01/01"</f>
        <v>2016/01/01</v>
      </c>
      <c r="J3012" t="str">
        <f>"110"</f>
        <v>110</v>
      </c>
      <c r="K3012" t="str">
        <f>"20210203"</f>
        <v>20210203</v>
      </c>
      <c r="L3012" t="s">
        <v>18</v>
      </c>
      <c r="M3012" t="str">
        <f>"20151021"</f>
        <v>20151021</v>
      </c>
    </row>
    <row r="3013" spans="1:13" x14ac:dyDescent="0.25">
      <c r="A3013" t="str">
        <f>"00548773"</f>
        <v>00548773</v>
      </c>
      <c r="B3013" t="s">
        <v>551</v>
      </c>
      <c r="C3013" t="s">
        <v>191</v>
      </c>
      <c r="D3013" t="s">
        <v>456</v>
      </c>
      <c r="E3013" t="s">
        <v>16</v>
      </c>
      <c r="F3013" t="s">
        <v>17</v>
      </c>
      <c r="G3013" t="str">
        <f>"10"</f>
        <v>10</v>
      </c>
      <c r="H3013" t="str">
        <f>"3  "</f>
        <v xml:space="preserve">3  </v>
      </c>
      <c r="I3013" t="str">
        <f>"2020/09/16"</f>
        <v>2020/09/16</v>
      </c>
      <c r="J3013" t="str">
        <f>"502"</f>
        <v>502</v>
      </c>
      <c r="K3013" t="str">
        <f>"20220701"</f>
        <v>20220701</v>
      </c>
      <c r="L3013" t="s">
        <v>18</v>
      </c>
      <c r="M3013" t="str">
        <f>"20180227"</f>
        <v>20180227</v>
      </c>
    </row>
    <row r="3014" spans="1:13" x14ac:dyDescent="0.25">
      <c r="A3014" t="str">
        <f>"00463562"</f>
        <v>00463562</v>
      </c>
      <c r="B3014" t="s">
        <v>553</v>
      </c>
      <c r="C3014" t="s">
        <v>99</v>
      </c>
      <c r="D3014" t="s">
        <v>61</v>
      </c>
      <c r="E3014" t="s">
        <v>26</v>
      </c>
      <c r="F3014" t="s">
        <v>17</v>
      </c>
      <c r="G3014" t="str">
        <f>"10"</f>
        <v>10</v>
      </c>
      <c r="H3014" t="str">
        <f>"3  "</f>
        <v xml:space="preserve">3  </v>
      </c>
      <c r="I3014" t="str">
        <f>"2018/02/15"</f>
        <v>2018/02/15</v>
      </c>
      <c r="J3014" t="str">
        <f>"110"</f>
        <v>110</v>
      </c>
      <c r="K3014" t="str">
        <f>"20220129"</f>
        <v>20220129</v>
      </c>
      <c r="L3014" t="s">
        <v>18</v>
      </c>
      <c r="M3014" t="str">
        <f>"20171103"</f>
        <v>20171103</v>
      </c>
    </row>
    <row r="3015" spans="1:13" x14ac:dyDescent="0.25">
      <c r="A3015" t="str">
        <f>"00454845"</f>
        <v>00454845</v>
      </c>
      <c r="B3015" t="s">
        <v>553</v>
      </c>
      <c r="C3015" t="s">
        <v>59</v>
      </c>
      <c r="D3015" t="s">
        <v>45</v>
      </c>
      <c r="E3015" t="s">
        <v>16</v>
      </c>
      <c r="F3015" t="s">
        <v>17</v>
      </c>
      <c r="G3015" t="str">
        <f>"10"</f>
        <v>10</v>
      </c>
      <c r="H3015" t="str">
        <f>"0  "</f>
        <v xml:space="preserve">0  </v>
      </c>
      <c r="I3015" t="str">
        <f>"2020/08/21"</f>
        <v>2020/08/21</v>
      </c>
      <c r="J3015" t="str">
        <f>"420"</f>
        <v>420</v>
      </c>
      <c r="K3015" t="s">
        <v>18</v>
      </c>
      <c r="L3015" t="s">
        <v>18</v>
      </c>
      <c r="M3015" t="s">
        <v>18</v>
      </c>
    </row>
    <row r="3016" spans="1:13" x14ac:dyDescent="0.25">
      <c r="A3016" t="str">
        <f>"00551951"</f>
        <v>00551951</v>
      </c>
      <c r="B3016" t="s">
        <v>556</v>
      </c>
      <c r="C3016" t="s">
        <v>557</v>
      </c>
      <c r="D3016" t="s">
        <v>61</v>
      </c>
      <c r="E3016" t="s">
        <v>26</v>
      </c>
      <c r="F3016" t="s">
        <v>17</v>
      </c>
      <c r="G3016" t="str">
        <f>"10"</f>
        <v>10</v>
      </c>
      <c r="H3016" t="str">
        <f>"3  "</f>
        <v xml:space="preserve">3  </v>
      </c>
      <c r="I3016" t="str">
        <f>"2017/11/27"</f>
        <v>2017/11/27</v>
      </c>
      <c r="J3016" t="str">
        <f>"110"</f>
        <v>110</v>
      </c>
      <c r="K3016" t="str">
        <f>"20210727"</f>
        <v>20210727</v>
      </c>
      <c r="L3016" t="s">
        <v>18</v>
      </c>
      <c r="M3016" t="str">
        <f>"20170419"</f>
        <v>20170419</v>
      </c>
    </row>
    <row r="3017" spans="1:13" x14ac:dyDescent="0.25">
      <c r="A3017" t="str">
        <f>"00430705"</f>
        <v>00430705</v>
      </c>
      <c r="B3017" t="s">
        <v>562</v>
      </c>
      <c r="C3017" t="s">
        <v>563</v>
      </c>
      <c r="D3017" t="s">
        <v>31</v>
      </c>
      <c r="E3017" t="s">
        <v>26</v>
      </c>
      <c r="F3017" t="s">
        <v>17</v>
      </c>
      <c r="G3017" t="str">
        <f>"10"</f>
        <v>10</v>
      </c>
      <c r="H3017" t="str">
        <f>"3  "</f>
        <v xml:space="preserve">3  </v>
      </c>
      <c r="I3017" t="str">
        <f>"2019/04/27"</f>
        <v>2019/04/27</v>
      </c>
      <c r="J3017" t="str">
        <f>"120"</f>
        <v>120</v>
      </c>
      <c r="K3017" t="str">
        <f>"20210219"</f>
        <v>20210219</v>
      </c>
      <c r="L3017" t="s">
        <v>18</v>
      </c>
      <c r="M3017" t="str">
        <f>"20190426"</f>
        <v>20190426</v>
      </c>
    </row>
    <row r="3018" spans="1:13" x14ac:dyDescent="0.25">
      <c r="A3018" t="str">
        <f>"00582783"</f>
        <v>00582783</v>
      </c>
      <c r="B3018" t="s">
        <v>567</v>
      </c>
      <c r="C3018" t="s">
        <v>568</v>
      </c>
      <c r="D3018" t="s">
        <v>15</v>
      </c>
      <c r="E3018" t="s">
        <v>26</v>
      </c>
      <c r="F3018" t="s">
        <v>17</v>
      </c>
      <c r="G3018" t="str">
        <f>"10"</f>
        <v>10</v>
      </c>
      <c r="H3018" t="str">
        <f>"0  "</f>
        <v xml:space="preserve">0  </v>
      </c>
      <c r="I3018" t="str">
        <f>"2020/09/19"</f>
        <v>2020/09/19</v>
      </c>
      <c r="J3018" t="str">
        <f>"420"</f>
        <v>420</v>
      </c>
      <c r="K3018" t="s">
        <v>18</v>
      </c>
      <c r="L3018" t="s">
        <v>18</v>
      </c>
      <c r="M3018" t="s">
        <v>18</v>
      </c>
    </row>
    <row r="3019" spans="1:13" x14ac:dyDescent="0.25">
      <c r="A3019" t="str">
        <f>"00706243"</f>
        <v>00706243</v>
      </c>
      <c r="B3019" t="s">
        <v>577</v>
      </c>
      <c r="C3019" t="s">
        <v>578</v>
      </c>
      <c r="D3019" t="s">
        <v>21</v>
      </c>
      <c r="E3019" t="s">
        <v>26</v>
      </c>
      <c r="F3019" t="s">
        <v>17</v>
      </c>
      <c r="G3019" t="str">
        <f>"10"</f>
        <v>10</v>
      </c>
      <c r="H3019" t="str">
        <f>"3  "</f>
        <v xml:space="preserve">3  </v>
      </c>
      <c r="I3019" t="str">
        <f>"2018/10/08"</f>
        <v>2018/10/08</v>
      </c>
      <c r="J3019" t="str">
        <f>"110"</f>
        <v>110</v>
      </c>
      <c r="K3019" t="str">
        <f>"20261022"</f>
        <v>20261022</v>
      </c>
      <c r="L3019" t="s">
        <v>18</v>
      </c>
      <c r="M3019" t="str">
        <f>"20180103"</f>
        <v>20180103</v>
      </c>
    </row>
    <row r="3020" spans="1:13" x14ac:dyDescent="0.25">
      <c r="A3020" t="str">
        <f>"00456358"</f>
        <v>00456358</v>
      </c>
      <c r="B3020" t="s">
        <v>577</v>
      </c>
      <c r="C3020" t="s">
        <v>580</v>
      </c>
      <c r="D3020" t="s">
        <v>45</v>
      </c>
      <c r="E3020" t="s">
        <v>26</v>
      </c>
      <c r="F3020" t="s">
        <v>17</v>
      </c>
      <c r="G3020" t="str">
        <f>"10"</f>
        <v>10</v>
      </c>
      <c r="H3020" t="str">
        <f>"3  "</f>
        <v xml:space="preserve">3  </v>
      </c>
      <c r="I3020" t="str">
        <f>"2018/11/07"</f>
        <v>2018/11/07</v>
      </c>
      <c r="J3020" t="str">
        <f>"120"</f>
        <v>120</v>
      </c>
      <c r="K3020" t="str">
        <f>"20201117"</f>
        <v>20201117</v>
      </c>
      <c r="L3020" t="s">
        <v>18</v>
      </c>
      <c r="M3020" t="str">
        <f>"20180417"</f>
        <v>20180417</v>
      </c>
    </row>
    <row r="3021" spans="1:13" x14ac:dyDescent="0.25">
      <c r="A3021" t="str">
        <f>"00707901"</f>
        <v>00707901</v>
      </c>
      <c r="B3021" t="s">
        <v>581</v>
      </c>
      <c r="C3021" t="s">
        <v>582</v>
      </c>
      <c r="D3021" t="s">
        <v>25</v>
      </c>
      <c r="E3021" t="s">
        <v>26</v>
      </c>
      <c r="F3021" t="s">
        <v>17</v>
      </c>
      <c r="G3021" t="str">
        <f>"10"</f>
        <v>10</v>
      </c>
      <c r="H3021" t="str">
        <f>"0  "</f>
        <v xml:space="preserve">0  </v>
      </c>
      <c r="I3021" t="str">
        <f>"2019/08/21"</f>
        <v>2019/08/21</v>
      </c>
      <c r="J3021" t="str">
        <f>"420"</f>
        <v>420</v>
      </c>
      <c r="K3021" t="s">
        <v>18</v>
      </c>
      <c r="L3021" t="s">
        <v>18</v>
      </c>
      <c r="M3021" t="s">
        <v>18</v>
      </c>
    </row>
    <row r="3022" spans="1:13" x14ac:dyDescent="0.25">
      <c r="A3022" t="str">
        <f>"00763470"</f>
        <v>00763470</v>
      </c>
      <c r="B3022" t="s">
        <v>583</v>
      </c>
      <c r="C3022" t="s">
        <v>96</v>
      </c>
      <c r="D3022" t="s">
        <v>25</v>
      </c>
      <c r="E3022" t="s">
        <v>16</v>
      </c>
      <c r="F3022" t="s">
        <v>17</v>
      </c>
      <c r="G3022" t="str">
        <f>"10"</f>
        <v>10</v>
      </c>
      <c r="H3022" t="str">
        <f>"0  "</f>
        <v xml:space="preserve">0  </v>
      </c>
      <c r="I3022" t="str">
        <f>"2020/01/25"</f>
        <v>2020/01/25</v>
      </c>
      <c r="J3022" t="str">
        <f>"420"</f>
        <v>420</v>
      </c>
      <c r="K3022" t="s">
        <v>18</v>
      </c>
      <c r="L3022" t="s">
        <v>18</v>
      </c>
      <c r="M3022" t="s">
        <v>18</v>
      </c>
    </row>
    <row r="3023" spans="1:13" x14ac:dyDescent="0.25">
      <c r="A3023" t="str">
        <f>"00389166"</f>
        <v>00389166</v>
      </c>
      <c r="B3023" t="s">
        <v>586</v>
      </c>
      <c r="C3023" t="s">
        <v>60</v>
      </c>
      <c r="D3023" t="s">
        <v>61</v>
      </c>
      <c r="E3023" t="s">
        <v>16</v>
      </c>
      <c r="F3023" t="s">
        <v>17</v>
      </c>
      <c r="G3023" t="str">
        <f>"10"</f>
        <v>10</v>
      </c>
      <c r="H3023" t="str">
        <f>"3  "</f>
        <v xml:space="preserve">3  </v>
      </c>
      <c r="I3023" t="str">
        <f>"2019/12/09"</f>
        <v>2019/12/09</v>
      </c>
      <c r="J3023" t="str">
        <f>"110"</f>
        <v>110</v>
      </c>
      <c r="K3023" t="str">
        <f>"20220316"</f>
        <v>20220316</v>
      </c>
      <c r="L3023" t="s">
        <v>18</v>
      </c>
      <c r="M3023" t="str">
        <f>"20180924"</f>
        <v>20180924</v>
      </c>
    </row>
    <row r="3024" spans="1:13" x14ac:dyDescent="0.25">
      <c r="A3024" t="str">
        <f>"00736516"</f>
        <v>00736516</v>
      </c>
      <c r="B3024" t="s">
        <v>594</v>
      </c>
      <c r="C3024" t="s">
        <v>595</v>
      </c>
      <c r="D3024" t="s">
        <v>142</v>
      </c>
      <c r="E3024" t="s">
        <v>16</v>
      </c>
      <c r="F3024" t="s">
        <v>17</v>
      </c>
      <c r="G3024" t="str">
        <f>"10"</f>
        <v>10</v>
      </c>
      <c r="H3024" t="str">
        <f>"3  "</f>
        <v xml:space="preserve">3  </v>
      </c>
      <c r="I3024" t="str">
        <f>"2019/04/14"</f>
        <v>2019/04/14</v>
      </c>
      <c r="J3024" t="str">
        <f>"110"</f>
        <v>110</v>
      </c>
      <c r="K3024" t="str">
        <f>"20210131"</f>
        <v>20210131</v>
      </c>
      <c r="L3024" t="s">
        <v>18</v>
      </c>
      <c r="M3024" t="str">
        <f>"20180511"</f>
        <v>20180511</v>
      </c>
    </row>
    <row r="3025" spans="1:13" x14ac:dyDescent="0.25">
      <c r="A3025" t="str">
        <f>"00555531"</f>
        <v>00555531</v>
      </c>
      <c r="B3025" t="s">
        <v>597</v>
      </c>
      <c r="C3025" t="s">
        <v>55</v>
      </c>
      <c r="D3025" t="s">
        <v>51</v>
      </c>
      <c r="E3025" t="s">
        <v>26</v>
      </c>
      <c r="F3025" t="s">
        <v>17</v>
      </c>
      <c r="G3025" t="str">
        <f>"10"</f>
        <v>10</v>
      </c>
      <c r="H3025" t="str">
        <f>"3  "</f>
        <v xml:space="preserve">3  </v>
      </c>
      <c r="I3025" t="str">
        <f>"2016/04/27"</f>
        <v>2016/04/27</v>
      </c>
      <c r="J3025" t="str">
        <f>"120"</f>
        <v>120</v>
      </c>
      <c r="K3025" t="str">
        <f>"20210611"</f>
        <v>20210611</v>
      </c>
      <c r="L3025" t="s">
        <v>18</v>
      </c>
      <c r="M3025" t="str">
        <f>"20150925"</f>
        <v>20150925</v>
      </c>
    </row>
    <row r="3026" spans="1:13" x14ac:dyDescent="0.25">
      <c r="A3026" t="str">
        <f>"00344526"</f>
        <v>00344526</v>
      </c>
      <c r="B3026" t="s">
        <v>600</v>
      </c>
      <c r="C3026" t="s">
        <v>595</v>
      </c>
      <c r="D3026" t="s">
        <v>53</v>
      </c>
      <c r="E3026" t="s">
        <v>26</v>
      </c>
      <c r="F3026" t="s">
        <v>17</v>
      </c>
      <c r="G3026" t="str">
        <f>"10"</f>
        <v>10</v>
      </c>
      <c r="H3026" t="str">
        <f>"0  "</f>
        <v xml:space="preserve">0  </v>
      </c>
      <c r="I3026" t="str">
        <f>"2020/06/14"</f>
        <v>2020/06/14</v>
      </c>
      <c r="J3026" t="str">
        <f>"420"</f>
        <v>420</v>
      </c>
      <c r="K3026" t="s">
        <v>18</v>
      </c>
      <c r="L3026" t="s">
        <v>18</v>
      </c>
      <c r="M3026" t="s">
        <v>18</v>
      </c>
    </row>
    <row r="3027" spans="1:13" x14ac:dyDescent="0.25">
      <c r="A3027" t="str">
        <f>"00578382"</f>
        <v>00578382</v>
      </c>
      <c r="B3027" t="s">
        <v>600</v>
      </c>
      <c r="C3027" t="s">
        <v>601</v>
      </c>
      <c r="D3027" t="s">
        <v>215</v>
      </c>
      <c r="E3027" t="s">
        <v>26</v>
      </c>
      <c r="F3027" t="s">
        <v>17</v>
      </c>
      <c r="G3027" t="str">
        <f>"10"</f>
        <v>10</v>
      </c>
      <c r="H3027" t="str">
        <f>"3  "</f>
        <v xml:space="preserve">3  </v>
      </c>
      <c r="I3027" t="str">
        <f>"2017/12/05"</f>
        <v>2017/12/05</v>
      </c>
      <c r="J3027" t="str">
        <f>"110"</f>
        <v>110</v>
      </c>
      <c r="K3027" t="str">
        <f>"20210922"</f>
        <v>20210922</v>
      </c>
      <c r="L3027" t="s">
        <v>18</v>
      </c>
      <c r="M3027" t="str">
        <f>"20170416"</f>
        <v>20170416</v>
      </c>
    </row>
    <row r="3028" spans="1:13" x14ac:dyDescent="0.25">
      <c r="A3028" t="str">
        <f>"00244882"</f>
        <v>00244882</v>
      </c>
      <c r="B3028" t="s">
        <v>602</v>
      </c>
      <c r="C3028" t="s">
        <v>552</v>
      </c>
      <c r="D3028" t="s">
        <v>21</v>
      </c>
      <c r="E3028" t="s">
        <v>26</v>
      </c>
      <c r="F3028" t="s">
        <v>17</v>
      </c>
      <c r="G3028" t="str">
        <f>"10"</f>
        <v>10</v>
      </c>
      <c r="H3028" t="str">
        <f>"3  "</f>
        <v xml:space="preserve">3  </v>
      </c>
      <c r="I3028" t="str">
        <f>"2014/12/08"</f>
        <v>2014/12/08</v>
      </c>
      <c r="J3028" t="str">
        <f>"110"</f>
        <v>110</v>
      </c>
      <c r="K3028" t="str">
        <f>"20230204"</f>
        <v>20230204</v>
      </c>
      <c r="L3028" t="s">
        <v>18</v>
      </c>
      <c r="M3028" t="str">
        <f>"20141119"</f>
        <v>20141119</v>
      </c>
    </row>
    <row r="3029" spans="1:13" x14ac:dyDescent="0.25">
      <c r="A3029" t="str">
        <f>"00716920"</f>
        <v>00716920</v>
      </c>
      <c r="B3029" t="s">
        <v>604</v>
      </c>
      <c r="C3029" t="s">
        <v>578</v>
      </c>
      <c r="D3029" t="s">
        <v>25</v>
      </c>
      <c r="E3029" t="s">
        <v>26</v>
      </c>
      <c r="F3029" t="s">
        <v>17</v>
      </c>
      <c r="G3029" t="str">
        <f>"10"</f>
        <v>10</v>
      </c>
      <c r="H3029" t="str">
        <f>"3  "</f>
        <v xml:space="preserve">3  </v>
      </c>
      <c r="I3029" t="str">
        <f>"2019/09/06"</f>
        <v>2019/09/06</v>
      </c>
      <c r="J3029" t="str">
        <f>"120"</f>
        <v>120</v>
      </c>
      <c r="K3029" t="str">
        <f>"20210509"</f>
        <v>20210509</v>
      </c>
      <c r="L3029" t="s">
        <v>18</v>
      </c>
      <c r="M3029" t="str">
        <f>"20190325"</f>
        <v>20190325</v>
      </c>
    </row>
    <row r="3030" spans="1:13" x14ac:dyDescent="0.25">
      <c r="A3030" t="str">
        <f>"00143049"</f>
        <v>00143049</v>
      </c>
      <c r="B3030" t="s">
        <v>605</v>
      </c>
      <c r="C3030" t="s">
        <v>606</v>
      </c>
      <c r="D3030" t="s">
        <v>61</v>
      </c>
      <c r="E3030" t="s">
        <v>26</v>
      </c>
      <c r="F3030" t="s">
        <v>17</v>
      </c>
      <c r="G3030" t="str">
        <f>"10"</f>
        <v>10</v>
      </c>
      <c r="H3030" t="str">
        <f>"3  "</f>
        <v xml:space="preserve">3  </v>
      </c>
      <c r="I3030" t="str">
        <f>"2019/09/14"</f>
        <v>2019/09/14</v>
      </c>
      <c r="J3030" t="str">
        <f>"110"</f>
        <v>110</v>
      </c>
      <c r="K3030" t="str">
        <f>"20210716"</f>
        <v>20210716</v>
      </c>
      <c r="L3030" t="s">
        <v>18</v>
      </c>
      <c r="M3030" t="str">
        <f>"20181128"</f>
        <v>20181128</v>
      </c>
    </row>
    <row r="3031" spans="1:13" x14ac:dyDescent="0.25">
      <c r="A3031" t="str">
        <f>"00159903"</f>
        <v>00159903</v>
      </c>
      <c r="B3031" t="s">
        <v>605</v>
      </c>
      <c r="C3031" t="s">
        <v>607</v>
      </c>
      <c r="D3031" t="s">
        <v>25</v>
      </c>
      <c r="E3031" t="s">
        <v>16</v>
      </c>
      <c r="F3031" t="s">
        <v>17</v>
      </c>
      <c r="G3031" t="str">
        <f>"10"</f>
        <v>10</v>
      </c>
      <c r="H3031" t="str">
        <f>"0  "</f>
        <v xml:space="preserve">0  </v>
      </c>
      <c r="I3031" t="str">
        <f>"2019/01/17"</f>
        <v>2019/01/17</v>
      </c>
      <c r="J3031" t="str">
        <f>"420"</f>
        <v>420</v>
      </c>
      <c r="K3031" t="s">
        <v>18</v>
      </c>
      <c r="L3031" t="s">
        <v>18</v>
      </c>
      <c r="M3031" t="s">
        <v>18</v>
      </c>
    </row>
    <row r="3032" spans="1:13" x14ac:dyDescent="0.25">
      <c r="A3032" t="str">
        <f>"00749294"</f>
        <v>00749294</v>
      </c>
      <c r="B3032" t="s">
        <v>612</v>
      </c>
      <c r="C3032" t="s">
        <v>614</v>
      </c>
      <c r="D3032" t="s">
        <v>21</v>
      </c>
      <c r="E3032" t="s">
        <v>26</v>
      </c>
      <c r="F3032" t="s">
        <v>17</v>
      </c>
      <c r="G3032" t="str">
        <f>"10"</f>
        <v>10</v>
      </c>
      <c r="H3032" t="str">
        <f>"1  "</f>
        <v xml:space="preserve">1  </v>
      </c>
      <c r="I3032" t="str">
        <f>"2020/04/30"</f>
        <v>2020/04/30</v>
      </c>
      <c r="J3032" t="str">
        <f>"120"</f>
        <v>120</v>
      </c>
      <c r="K3032" t="str">
        <f>"20201008"</f>
        <v>20201008</v>
      </c>
      <c r="L3032" t="s">
        <v>18</v>
      </c>
      <c r="M3032" t="str">
        <f>"20200421"</f>
        <v>20200421</v>
      </c>
    </row>
    <row r="3033" spans="1:13" x14ac:dyDescent="0.25">
      <c r="A3033" t="str">
        <f>"00285144"</f>
        <v>00285144</v>
      </c>
      <c r="B3033" t="s">
        <v>622</v>
      </c>
      <c r="C3033" t="s">
        <v>267</v>
      </c>
      <c r="D3033" t="s">
        <v>25</v>
      </c>
      <c r="E3033" t="s">
        <v>26</v>
      </c>
      <c r="F3033" t="s">
        <v>17</v>
      </c>
      <c r="G3033" t="str">
        <f>"10"</f>
        <v>10</v>
      </c>
      <c r="H3033" t="str">
        <f>"3  "</f>
        <v xml:space="preserve">3  </v>
      </c>
      <c r="I3033" t="str">
        <f>"2019/11/26"</f>
        <v>2019/11/26</v>
      </c>
      <c r="J3033" t="str">
        <f>"110"</f>
        <v>110</v>
      </c>
      <c r="K3033" t="str">
        <f>"20210830"</f>
        <v>20210830</v>
      </c>
      <c r="L3033" t="s">
        <v>18</v>
      </c>
      <c r="M3033" t="str">
        <f>"20190726"</f>
        <v>20190726</v>
      </c>
    </row>
    <row r="3034" spans="1:13" x14ac:dyDescent="0.25">
      <c r="A3034" t="str">
        <f>"00564285"</f>
        <v>00564285</v>
      </c>
      <c r="B3034" t="s">
        <v>622</v>
      </c>
      <c r="C3034" t="s">
        <v>628</v>
      </c>
      <c r="D3034" t="s">
        <v>182</v>
      </c>
      <c r="E3034" t="s">
        <v>26</v>
      </c>
      <c r="F3034" t="s">
        <v>17</v>
      </c>
      <c r="G3034" t="str">
        <f>"10"</f>
        <v>10</v>
      </c>
      <c r="H3034" t="str">
        <f>"0  "</f>
        <v xml:space="preserve">0  </v>
      </c>
      <c r="I3034" t="str">
        <f>"2020/09/11"</f>
        <v>2020/09/11</v>
      </c>
      <c r="J3034" t="str">
        <f>"420"</f>
        <v>420</v>
      </c>
      <c r="K3034" t="s">
        <v>18</v>
      </c>
      <c r="L3034" t="s">
        <v>18</v>
      </c>
      <c r="M3034" t="s">
        <v>18</v>
      </c>
    </row>
    <row r="3035" spans="1:13" x14ac:dyDescent="0.25">
      <c r="A3035" t="str">
        <f>"00779559"</f>
        <v>00779559</v>
      </c>
      <c r="B3035" t="s">
        <v>634</v>
      </c>
      <c r="C3035" t="s">
        <v>638</v>
      </c>
      <c r="D3035" t="s">
        <v>40</v>
      </c>
      <c r="E3035" t="s">
        <v>26</v>
      </c>
      <c r="F3035" t="s">
        <v>17</v>
      </c>
      <c r="G3035" t="str">
        <f>"10"</f>
        <v>10</v>
      </c>
      <c r="H3035" t="str">
        <f>"3  "</f>
        <v xml:space="preserve">3  </v>
      </c>
      <c r="I3035" t="str">
        <f>"2020/03/16"</f>
        <v>2020/03/16</v>
      </c>
      <c r="J3035" t="str">
        <f>"110"</f>
        <v>110</v>
      </c>
      <c r="K3035" t="str">
        <f>"20201106"</f>
        <v>20201106</v>
      </c>
      <c r="L3035" t="s">
        <v>18</v>
      </c>
      <c r="M3035" t="str">
        <f>"20190624"</f>
        <v>20190624</v>
      </c>
    </row>
    <row r="3036" spans="1:13" x14ac:dyDescent="0.25">
      <c r="A3036" t="str">
        <f>"00560107"</f>
        <v>00560107</v>
      </c>
      <c r="B3036" t="s">
        <v>634</v>
      </c>
      <c r="C3036" t="s">
        <v>639</v>
      </c>
      <c r="D3036" t="s">
        <v>51</v>
      </c>
      <c r="E3036" t="s">
        <v>26</v>
      </c>
      <c r="F3036" t="s">
        <v>17</v>
      </c>
      <c r="G3036" t="str">
        <f>"10"</f>
        <v>10</v>
      </c>
      <c r="H3036" t="str">
        <f>"0  "</f>
        <v xml:space="preserve">0  </v>
      </c>
      <c r="I3036" t="str">
        <f>"2020/08/10"</f>
        <v>2020/08/10</v>
      </c>
      <c r="J3036" t="str">
        <f>"420"</f>
        <v>420</v>
      </c>
      <c r="K3036" t="s">
        <v>18</v>
      </c>
      <c r="L3036" t="s">
        <v>18</v>
      </c>
      <c r="M3036" t="s">
        <v>18</v>
      </c>
    </row>
    <row r="3037" spans="1:13" x14ac:dyDescent="0.25">
      <c r="A3037" t="str">
        <f>"00496644"</f>
        <v>00496644</v>
      </c>
      <c r="B3037" t="s">
        <v>634</v>
      </c>
      <c r="C3037" t="s">
        <v>384</v>
      </c>
      <c r="D3037" t="s">
        <v>40</v>
      </c>
      <c r="E3037" t="s">
        <v>16</v>
      </c>
      <c r="F3037" t="s">
        <v>17</v>
      </c>
      <c r="G3037" t="str">
        <f>"10"</f>
        <v>10</v>
      </c>
      <c r="H3037" t="str">
        <f>"3  "</f>
        <v xml:space="preserve">3  </v>
      </c>
      <c r="I3037" t="str">
        <f>"2017/01/24"</f>
        <v>2017/01/24</v>
      </c>
      <c r="J3037" t="str">
        <f>"110"</f>
        <v>110</v>
      </c>
      <c r="K3037" t="str">
        <f>"20210106"</f>
        <v>20210106</v>
      </c>
      <c r="L3037" t="s">
        <v>18</v>
      </c>
      <c r="M3037" t="str">
        <f>"20160301"</f>
        <v>20160301</v>
      </c>
    </row>
    <row r="3038" spans="1:13" x14ac:dyDescent="0.25">
      <c r="A3038" t="str">
        <f>"00806720"</f>
        <v>00806720</v>
      </c>
      <c r="B3038" t="s">
        <v>634</v>
      </c>
      <c r="C3038" t="s">
        <v>213</v>
      </c>
      <c r="D3038" t="s">
        <v>25</v>
      </c>
      <c r="E3038" t="s">
        <v>16</v>
      </c>
      <c r="F3038" t="s">
        <v>17</v>
      </c>
      <c r="G3038" t="str">
        <f>"10"</f>
        <v>10</v>
      </c>
      <c r="H3038" t="str">
        <f>"3  "</f>
        <v xml:space="preserve">3  </v>
      </c>
      <c r="I3038" t="str">
        <f>"2020/08/20"</f>
        <v>2020/08/20</v>
      </c>
      <c r="J3038" t="str">
        <f>"110"</f>
        <v>110</v>
      </c>
      <c r="K3038" t="str">
        <f>"20240417"</f>
        <v>20240417</v>
      </c>
      <c r="L3038" t="s">
        <v>18</v>
      </c>
      <c r="M3038" t="str">
        <f>"20191003"</f>
        <v>20191003</v>
      </c>
    </row>
    <row r="3039" spans="1:13" x14ac:dyDescent="0.25">
      <c r="A3039" t="str">
        <f>"00736139"</f>
        <v>00736139</v>
      </c>
      <c r="B3039" t="s">
        <v>634</v>
      </c>
      <c r="C3039" t="s">
        <v>645</v>
      </c>
      <c r="D3039" t="s">
        <v>25</v>
      </c>
      <c r="E3039" t="s">
        <v>26</v>
      </c>
      <c r="F3039" t="s">
        <v>17</v>
      </c>
      <c r="G3039" t="str">
        <f>"10"</f>
        <v>10</v>
      </c>
      <c r="H3039" t="str">
        <f>"3  "</f>
        <v xml:space="preserve">3  </v>
      </c>
      <c r="I3039" t="str">
        <f>"2020/06/26"</f>
        <v>2020/06/26</v>
      </c>
      <c r="J3039" t="str">
        <f>"110"</f>
        <v>110</v>
      </c>
      <c r="K3039" t="str">
        <f>"20221014"</f>
        <v>20221014</v>
      </c>
      <c r="L3039" t="s">
        <v>18</v>
      </c>
      <c r="M3039" t="str">
        <f>"20190807"</f>
        <v>20190807</v>
      </c>
    </row>
    <row r="3040" spans="1:13" x14ac:dyDescent="0.25">
      <c r="A3040" t="str">
        <f>"00907764"</f>
        <v>00907764</v>
      </c>
      <c r="B3040" t="s">
        <v>634</v>
      </c>
      <c r="C3040" t="s">
        <v>648</v>
      </c>
      <c r="D3040" t="s">
        <v>80</v>
      </c>
      <c r="E3040" t="s">
        <v>26</v>
      </c>
      <c r="F3040" t="s">
        <v>17</v>
      </c>
      <c r="G3040" t="str">
        <f>"10"</f>
        <v>10</v>
      </c>
      <c r="H3040" t="str">
        <f>"3  "</f>
        <v xml:space="preserve">3  </v>
      </c>
      <c r="I3040" t="str">
        <f>"2019/10/29"</f>
        <v>2019/10/29</v>
      </c>
      <c r="J3040" t="str">
        <f>"110"</f>
        <v>110</v>
      </c>
      <c r="K3040" t="str">
        <f>"20240323"</f>
        <v>20240323</v>
      </c>
      <c r="L3040" t="s">
        <v>18</v>
      </c>
      <c r="M3040" t="str">
        <f>"20190908"</f>
        <v>20190908</v>
      </c>
    </row>
    <row r="3041" spans="1:13" x14ac:dyDescent="0.25">
      <c r="A3041" t="str">
        <f>"00635531"</f>
        <v>00635531</v>
      </c>
      <c r="B3041" t="s">
        <v>634</v>
      </c>
      <c r="C3041" t="s">
        <v>233</v>
      </c>
      <c r="D3041" t="s">
        <v>51</v>
      </c>
      <c r="E3041" t="s">
        <v>26</v>
      </c>
      <c r="F3041" t="s">
        <v>17</v>
      </c>
      <c r="G3041" t="str">
        <f>"10"</f>
        <v>10</v>
      </c>
      <c r="H3041" t="str">
        <f>"0  "</f>
        <v xml:space="preserve">0  </v>
      </c>
      <c r="I3041" t="str">
        <f>"2020/08/23"</f>
        <v>2020/08/23</v>
      </c>
      <c r="J3041" t="str">
        <f>"420"</f>
        <v>420</v>
      </c>
      <c r="K3041" t="s">
        <v>18</v>
      </c>
      <c r="L3041" t="s">
        <v>18</v>
      </c>
      <c r="M3041" t="s">
        <v>18</v>
      </c>
    </row>
    <row r="3042" spans="1:13" x14ac:dyDescent="0.25">
      <c r="A3042" t="str">
        <f>"00596010"</f>
        <v>00596010</v>
      </c>
      <c r="B3042" t="s">
        <v>634</v>
      </c>
      <c r="C3042" t="s">
        <v>654</v>
      </c>
      <c r="D3042" t="s">
        <v>21</v>
      </c>
      <c r="E3042" t="s">
        <v>26</v>
      </c>
      <c r="F3042" t="s">
        <v>17</v>
      </c>
      <c r="G3042" t="str">
        <f>"10"</f>
        <v>10</v>
      </c>
      <c r="H3042" t="str">
        <f>"3  "</f>
        <v xml:space="preserve">3  </v>
      </c>
      <c r="I3042" t="str">
        <f>"2019/04/04"</f>
        <v>2019/04/04</v>
      </c>
      <c r="J3042" t="str">
        <f>"110"</f>
        <v>110</v>
      </c>
      <c r="K3042" t="str">
        <f>"20240202"</f>
        <v>20240202</v>
      </c>
      <c r="L3042" t="s">
        <v>18</v>
      </c>
      <c r="M3042" t="str">
        <f>"20181012"</f>
        <v>20181012</v>
      </c>
    </row>
    <row r="3043" spans="1:13" x14ac:dyDescent="0.25">
      <c r="A3043" t="str">
        <f>"00401882"</f>
        <v>00401882</v>
      </c>
      <c r="B3043" t="s">
        <v>634</v>
      </c>
      <c r="C3043" t="s">
        <v>22</v>
      </c>
      <c r="D3043" t="s">
        <v>51</v>
      </c>
      <c r="E3043" t="s">
        <v>26</v>
      </c>
      <c r="F3043" t="s">
        <v>17</v>
      </c>
      <c r="G3043" t="str">
        <f>"10"</f>
        <v>10</v>
      </c>
      <c r="H3043" t="str">
        <f>"0  "</f>
        <v xml:space="preserve">0  </v>
      </c>
      <c r="I3043" t="str">
        <f>"2020/07/17"</f>
        <v>2020/07/17</v>
      </c>
      <c r="J3043" t="str">
        <f>"420"</f>
        <v>420</v>
      </c>
      <c r="K3043" t="s">
        <v>18</v>
      </c>
      <c r="L3043" t="s">
        <v>18</v>
      </c>
      <c r="M3043" t="s">
        <v>18</v>
      </c>
    </row>
    <row r="3044" spans="1:13" x14ac:dyDescent="0.25">
      <c r="A3044" t="str">
        <f>"00604824"</f>
        <v>00604824</v>
      </c>
      <c r="B3044" t="s">
        <v>634</v>
      </c>
      <c r="C3044" t="s">
        <v>659</v>
      </c>
      <c r="D3044" t="s">
        <v>51</v>
      </c>
      <c r="E3044" t="s">
        <v>26</v>
      </c>
      <c r="F3044" t="s">
        <v>17</v>
      </c>
      <c r="G3044" t="str">
        <f>"10"</f>
        <v>10</v>
      </c>
      <c r="H3044" t="str">
        <f>"3  "</f>
        <v xml:space="preserve">3  </v>
      </c>
      <c r="I3044" t="str">
        <f>"2017/10/04"</f>
        <v>2017/10/04</v>
      </c>
      <c r="J3044" t="str">
        <f>"110"</f>
        <v>110</v>
      </c>
      <c r="K3044" t="str">
        <f>"20210701"</f>
        <v>20210701</v>
      </c>
      <c r="L3044" t="s">
        <v>18</v>
      </c>
      <c r="M3044" t="str">
        <f>"20170517"</f>
        <v>20170517</v>
      </c>
    </row>
    <row r="3045" spans="1:13" x14ac:dyDescent="0.25">
      <c r="A3045" t="str">
        <f>"00426476"</f>
        <v>00426476</v>
      </c>
      <c r="B3045" t="s">
        <v>634</v>
      </c>
      <c r="C3045" t="s">
        <v>660</v>
      </c>
      <c r="D3045" t="s">
        <v>21</v>
      </c>
      <c r="E3045" t="s">
        <v>26</v>
      </c>
      <c r="F3045" t="s">
        <v>17</v>
      </c>
      <c r="G3045" t="str">
        <f>"10"</f>
        <v>10</v>
      </c>
      <c r="H3045" t="str">
        <f>"0  "</f>
        <v xml:space="preserve">0  </v>
      </c>
      <c r="I3045" t="str">
        <f>"2019/12/16"</f>
        <v>2019/12/16</v>
      </c>
      <c r="J3045" t="str">
        <f>"420"</f>
        <v>420</v>
      </c>
      <c r="K3045" t="s">
        <v>18</v>
      </c>
      <c r="L3045" t="s">
        <v>18</v>
      </c>
      <c r="M3045" t="s">
        <v>18</v>
      </c>
    </row>
    <row r="3046" spans="1:13" x14ac:dyDescent="0.25">
      <c r="A3046" t="str">
        <f>"00345580"</f>
        <v>00345580</v>
      </c>
      <c r="B3046" t="s">
        <v>634</v>
      </c>
      <c r="C3046" t="s">
        <v>661</v>
      </c>
      <c r="D3046" t="s">
        <v>51</v>
      </c>
      <c r="E3046" t="s">
        <v>26</v>
      </c>
      <c r="F3046" t="s">
        <v>17</v>
      </c>
      <c r="G3046" t="str">
        <f>"10"</f>
        <v>10</v>
      </c>
      <c r="H3046" t="str">
        <f>"0  "</f>
        <v xml:space="preserve">0  </v>
      </c>
      <c r="I3046" t="str">
        <f>"2020/07/13"</f>
        <v>2020/07/13</v>
      </c>
      <c r="J3046" t="str">
        <f>"512"</f>
        <v>512</v>
      </c>
      <c r="K3046" t="s">
        <v>18</v>
      </c>
      <c r="L3046" t="s">
        <v>18</v>
      </c>
      <c r="M3046" t="s">
        <v>18</v>
      </c>
    </row>
    <row r="3047" spans="1:13" x14ac:dyDescent="0.25">
      <c r="A3047" t="str">
        <f>"00811750"</f>
        <v>00811750</v>
      </c>
      <c r="B3047" t="s">
        <v>668</v>
      </c>
      <c r="C3047" t="s">
        <v>150</v>
      </c>
      <c r="D3047" t="s">
        <v>25</v>
      </c>
      <c r="E3047" t="s">
        <v>16</v>
      </c>
      <c r="F3047" t="s">
        <v>17</v>
      </c>
      <c r="G3047" t="str">
        <f>"10"</f>
        <v>10</v>
      </c>
      <c r="H3047" t="str">
        <f>"3  "</f>
        <v xml:space="preserve">3  </v>
      </c>
      <c r="I3047" t="str">
        <f>"2016/07/19"</f>
        <v>2016/07/19</v>
      </c>
      <c r="J3047" t="str">
        <f>"110"</f>
        <v>110</v>
      </c>
      <c r="K3047" t="str">
        <f>"20240907"</f>
        <v>20240907</v>
      </c>
      <c r="L3047" t="s">
        <v>18</v>
      </c>
      <c r="M3047" t="str">
        <f>"20160120"</f>
        <v>20160120</v>
      </c>
    </row>
    <row r="3048" spans="1:13" x14ac:dyDescent="0.25">
      <c r="A3048" t="str">
        <f>"00279608"</f>
        <v>00279608</v>
      </c>
      <c r="B3048" t="s">
        <v>670</v>
      </c>
      <c r="C3048" t="s">
        <v>672</v>
      </c>
      <c r="D3048" t="s">
        <v>25</v>
      </c>
      <c r="E3048" t="s">
        <v>26</v>
      </c>
      <c r="F3048" t="s">
        <v>17</v>
      </c>
      <c r="G3048" t="str">
        <f>"10"</f>
        <v>10</v>
      </c>
      <c r="H3048" t="str">
        <f>"3  "</f>
        <v xml:space="preserve">3  </v>
      </c>
      <c r="I3048" t="str">
        <f>"2019/09/27"</f>
        <v>2019/09/27</v>
      </c>
      <c r="J3048" t="str">
        <f>"502"</f>
        <v>502</v>
      </c>
      <c r="K3048" t="str">
        <f>"20201209"</f>
        <v>20201209</v>
      </c>
      <c r="L3048" t="s">
        <v>18</v>
      </c>
      <c r="M3048" t="str">
        <f>"20080529"</f>
        <v>20080529</v>
      </c>
    </row>
    <row r="3049" spans="1:13" x14ac:dyDescent="0.25">
      <c r="A3049" t="str">
        <f>"00714848"</f>
        <v>00714848</v>
      </c>
      <c r="B3049" t="s">
        <v>670</v>
      </c>
      <c r="C3049" t="s">
        <v>673</v>
      </c>
      <c r="D3049" t="s">
        <v>61</v>
      </c>
      <c r="E3049" t="s">
        <v>26</v>
      </c>
      <c r="F3049" t="s">
        <v>17</v>
      </c>
      <c r="G3049" t="str">
        <f>"10"</f>
        <v>10</v>
      </c>
      <c r="H3049" t="str">
        <f>"3  "</f>
        <v xml:space="preserve">3  </v>
      </c>
      <c r="I3049" t="str">
        <f>"2016/06/07"</f>
        <v>2016/06/07</v>
      </c>
      <c r="J3049" t="str">
        <f>"110"</f>
        <v>110</v>
      </c>
      <c r="K3049" t="str">
        <f>"20210315"</f>
        <v>20210315</v>
      </c>
      <c r="L3049" t="s">
        <v>18</v>
      </c>
      <c r="M3049" t="str">
        <f>"20151020"</f>
        <v>20151020</v>
      </c>
    </row>
    <row r="3050" spans="1:13" x14ac:dyDescent="0.25">
      <c r="A3050" t="str">
        <f>"00257222"</f>
        <v>00257222</v>
      </c>
      <c r="B3050" t="s">
        <v>676</v>
      </c>
      <c r="C3050" t="s">
        <v>125</v>
      </c>
      <c r="D3050" t="s">
        <v>142</v>
      </c>
      <c r="E3050" t="s">
        <v>16</v>
      </c>
      <c r="F3050" t="s">
        <v>17</v>
      </c>
      <c r="G3050" t="str">
        <f>"10"</f>
        <v>10</v>
      </c>
      <c r="H3050" t="str">
        <f>"0  "</f>
        <v xml:space="preserve">0  </v>
      </c>
      <c r="I3050" t="str">
        <f>"2020/08/26"</f>
        <v>2020/08/26</v>
      </c>
      <c r="J3050" t="str">
        <f>"420"</f>
        <v>420</v>
      </c>
      <c r="K3050" t="s">
        <v>18</v>
      </c>
      <c r="L3050" t="s">
        <v>18</v>
      </c>
      <c r="M3050" t="s">
        <v>18</v>
      </c>
    </row>
    <row r="3051" spans="1:13" x14ac:dyDescent="0.25">
      <c r="A3051" t="str">
        <f>"00609755"</f>
        <v>00609755</v>
      </c>
      <c r="B3051" t="s">
        <v>678</v>
      </c>
      <c r="C3051" t="s">
        <v>348</v>
      </c>
      <c r="D3051" t="s">
        <v>61</v>
      </c>
      <c r="E3051" t="s">
        <v>16</v>
      </c>
      <c r="F3051" t="s">
        <v>17</v>
      </c>
      <c r="G3051" t="str">
        <f>"10"</f>
        <v>10</v>
      </c>
      <c r="H3051" t="str">
        <f>"3  "</f>
        <v xml:space="preserve">3  </v>
      </c>
      <c r="I3051" t="str">
        <f>"2019/09/09"</f>
        <v>2019/09/09</v>
      </c>
      <c r="J3051" t="str">
        <f>"110"</f>
        <v>110</v>
      </c>
      <c r="K3051" t="str">
        <f>"20201030"</f>
        <v>20201030</v>
      </c>
      <c r="L3051" t="s">
        <v>18</v>
      </c>
      <c r="M3051" t="str">
        <f>"20190909"</f>
        <v>20190909</v>
      </c>
    </row>
    <row r="3052" spans="1:13" x14ac:dyDescent="0.25">
      <c r="A3052" t="str">
        <f>"00632289"</f>
        <v>00632289</v>
      </c>
      <c r="B3052" t="s">
        <v>684</v>
      </c>
      <c r="C3052" t="s">
        <v>685</v>
      </c>
      <c r="D3052" t="s">
        <v>113</v>
      </c>
      <c r="E3052" t="s">
        <v>26</v>
      </c>
      <c r="F3052" t="s">
        <v>17</v>
      </c>
      <c r="G3052" t="str">
        <f>"10"</f>
        <v>10</v>
      </c>
      <c r="H3052" t="str">
        <f>"0  "</f>
        <v xml:space="preserve">0  </v>
      </c>
      <c r="I3052" t="str">
        <f>"2020/09/14"</f>
        <v>2020/09/14</v>
      </c>
      <c r="J3052" t="str">
        <f>"420"</f>
        <v>420</v>
      </c>
      <c r="K3052" t="s">
        <v>18</v>
      </c>
      <c r="L3052" t="s">
        <v>18</v>
      </c>
      <c r="M3052" t="s">
        <v>18</v>
      </c>
    </row>
    <row r="3053" spans="1:13" x14ac:dyDescent="0.25">
      <c r="A3053" t="str">
        <f>"00240697"</f>
        <v>00240697</v>
      </c>
      <c r="B3053" t="s">
        <v>688</v>
      </c>
      <c r="C3053" t="s">
        <v>689</v>
      </c>
      <c r="D3053" t="s">
        <v>51</v>
      </c>
      <c r="E3053" t="s">
        <v>16</v>
      </c>
      <c r="F3053" t="s">
        <v>17</v>
      </c>
      <c r="G3053" t="str">
        <f>"10"</f>
        <v>10</v>
      </c>
      <c r="H3053" t="str">
        <f>"1  "</f>
        <v xml:space="preserve">1  </v>
      </c>
      <c r="I3053" t="str">
        <f>"2020/07/28"</f>
        <v>2020/07/28</v>
      </c>
      <c r="J3053" t="str">
        <f>"512"</f>
        <v>512</v>
      </c>
      <c r="K3053" t="str">
        <f>"20201217"</f>
        <v>20201217</v>
      </c>
      <c r="L3053" t="s">
        <v>18</v>
      </c>
      <c r="M3053" t="str">
        <f>"20200728"</f>
        <v>20200728</v>
      </c>
    </row>
    <row r="3054" spans="1:13" x14ac:dyDescent="0.25">
      <c r="A3054" t="str">
        <f>"00426193"</f>
        <v>00426193</v>
      </c>
      <c r="B3054" t="s">
        <v>698</v>
      </c>
      <c r="C3054" t="s">
        <v>176</v>
      </c>
      <c r="D3054" t="s">
        <v>73</v>
      </c>
      <c r="E3054" t="s">
        <v>16</v>
      </c>
      <c r="F3054" t="s">
        <v>17</v>
      </c>
      <c r="G3054" t="str">
        <f>"10"</f>
        <v>10</v>
      </c>
      <c r="H3054" t="str">
        <f>"3  "</f>
        <v xml:space="preserve">3  </v>
      </c>
      <c r="I3054" t="str">
        <f>"2018/07/10"</f>
        <v>2018/07/10</v>
      </c>
      <c r="J3054" t="str">
        <f>"120"</f>
        <v>120</v>
      </c>
      <c r="K3054" t="str">
        <f>"20240830"</f>
        <v>20240830</v>
      </c>
      <c r="L3054" t="s">
        <v>18</v>
      </c>
      <c r="M3054" t="str">
        <f>"20180622"</f>
        <v>20180622</v>
      </c>
    </row>
    <row r="3055" spans="1:13" x14ac:dyDescent="0.25">
      <c r="A3055" t="str">
        <f>"00928614"</f>
        <v>00928614</v>
      </c>
      <c r="B3055" t="s">
        <v>699</v>
      </c>
      <c r="C3055" t="s">
        <v>398</v>
      </c>
      <c r="D3055" t="s">
        <v>21</v>
      </c>
      <c r="E3055" t="s">
        <v>26</v>
      </c>
      <c r="F3055" t="s">
        <v>17</v>
      </c>
      <c r="G3055" t="str">
        <f>"10"</f>
        <v>10</v>
      </c>
      <c r="H3055" t="str">
        <f>"0  "</f>
        <v xml:space="preserve">0  </v>
      </c>
      <c r="I3055" t="str">
        <f>"2020/03/22"</f>
        <v>2020/03/22</v>
      </c>
      <c r="J3055" t="str">
        <f>"420"</f>
        <v>420</v>
      </c>
      <c r="K3055" t="s">
        <v>18</v>
      </c>
      <c r="L3055" t="s">
        <v>18</v>
      </c>
      <c r="M3055" t="s">
        <v>18</v>
      </c>
    </row>
    <row r="3056" spans="1:13" x14ac:dyDescent="0.25">
      <c r="A3056" t="str">
        <f>"00696545"</f>
        <v>00696545</v>
      </c>
      <c r="B3056" t="s">
        <v>700</v>
      </c>
      <c r="C3056" t="s">
        <v>140</v>
      </c>
      <c r="D3056" t="s">
        <v>25</v>
      </c>
      <c r="E3056" t="s">
        <v>16</v>
      </c>
      <c r="F3056" t="s">
        <v>17</v>
      </c>
      <c r="G3056" t="str">
        <f>"10"</f>
        <v>10</v>
      </c>
      <c r="H3056" t="str">
        <f>"3  "</f>
        <v xml:space="preserve">3  </v>
      </c>
      <c r="I3056" t="str">
        <f>"2020/04/24"</f>
        <v>2020/04/24</v>
      </c>
      <c r="J3056" t="str">
        <f>"110"</f>
        <v>110</v>
      </c>
      <c r="K3056" t="str">
        <f>"20210526"</f>
        <v>20210526</v>
      </c>
      <c r="L3056" t="s">
        <v>18</v>
      </c>
      <c r="M3056" t="str">
        <f>"20190726"</f>
        <v>20190726</v>
      </c>
    </row>
    <row r="3057" spans="1:13" x14ac:dyDescent="0.25">
      <c r="A3057" t="str">
        <f>"00753850"</f>
        <v>00753850</v>
      </c>
      <c r="B3057" t="s">
        <v>701</v>
      </c>
      <c r="C3057" t="s">
        <v>702</v>
      </c>
      <c r="D3057" t="s">
        <v>61</v>
      </c>
      <c r="E3057" t="s">
        <v>26</v>
      </c>
      <c r="F3057" t="s">
        <v>17</v>
      </c>
      <c r="G3057" t="str">
        <f>"10"</f>
        <v>10</v>
      </c>
      <c r="H3057" t="str">
        <f>"3  "</f>
        <v xml:space="preserve">3  </v>
      </c>
      <c r="I3057" t="str">
        <f>"2019/04/22"</f>
        <v>2019/04/22</v>
      </c>
      <c r="J3057" t="str">
        <f>"503"</f>
        <v>503</v>
      </c>
      <c r="K3057" t="str">
        <f>"20230505"</f>
        <v>20230505</v>
      </c>
      <c r="L3057" t="s">
        <v>18</v>
      </c>
      <c r="M3057" t="str">
        <f>"20170407"</f>
        <v>20170407</v>
      </c>
    </row>
    <row r="3058" spans="1:13" x14ac:dyDescent="0.25">
      <c r="A3058" t="str">
        <f>"00320535"</f>
        <v>00320535</v>
      </c>
      <c r="B3058" t="s">
        <v>708</v>
      </c>
      <c r="C3058" t="s">
        <v>710</v>
      </c>
      <c r="D3058" t="s">
        <v>80</v>
      </c>
      <c r="E3058" t="s">
        <v>16</v>
      </c>
      <c r="F3058" t="s">
        <v>17</v>
      </c>
      <c r="G3058" t="str">
        <f>"10"</f>
        <v>10</v>
      </c>
      <c r="H3058" t="str">
        <f>"3  "</f>
        <v xml:space="preserve">3  </v>
      </c>
      <c r="I3058" t="str">
        <f>"2015/10/09"</f>
        <v>2015/10/09</v>
      </c>
      <c r="J3058" t="str">
        <f>"110"</f>
        <v>110</v>
      </c>
      <c r="K3058" t="str">
        <f>"20230605"</f>
        <v>20230605</v>
      </c>
      <c r="L3058" t="s">
        <v>18</v>
      </c>
      <c r="M3058" t="str">
        <f>"20141217"</f>
        <v>20141217</v>
      </c>
    </row>
    <row r="3059" spans="1:13" x14ac:dyDescent="0.25">
      <c r="A3059" t="str">
        <f>"00557188"</f>
        <v>00557188</v>
      </c>
      <c r="B3059" t="s">
        <v>713</v>
      </c>
      <c r="C3059" t="s">
        <v>714</v>
      </c>
      <c r="D3059" t="s">
        <v>142</v>
      </c>
      <c r="E3059" t="s">
        <v>16</v>
      </c>
      <c r="F3059" t="s">
        <v>17</v>
      </c>
      <c r="G3059" t="str">
        <f>"10"</f>
        <v>10</v>
      </c>
      <c r="H3059" t="str">
        <f>"0  "</f>
        <v xml:space="preserve">0  </v>
      </c>
      <c r="I3059" t="str">
        <f>"2019/11/12"</f>
        <v>2019/11/12</v>
      </c>
      <c r="J3059" t="str">
        <f>"420"</f>
        <v>420</v>
      </c>
      <c r="K3059" t="s">
        <v>18</v>
      </c>
      <c r="L3059" t="s">
        <v>18</v>
      </c>
      <c r="M3059" t="s">
        <v>18</v>
      </c>
    </row>
    <row r="3060" spans="1:13" x14ac:dyDescent="0.25">
      <c r="A3060" t="str">
        <f>"00565166"</f>
        <v>00565166</v>
      </c>
      <c r="B3060" t="s">
        <v>720</v>
      </c>
      <c r="C3060" t="s">
        <v>624</v>
      </c>
      <c r="D3060" t="s">
        <v>40</v>
      </c>
      <c r="E3060" t="s">
        <v>26</v>
      </c>
      <c r="F3060" t="s">
        <v>17</v>
      </c>
      <c r="G3060" t="str">
        <f>"10"</f>
        <v>10</v>
      </c>
      <c r="H3060" t="str">
        <f>"0  "</f>
        <v xml:space="preserve">0  </v>
      </c>
      <c r="I3060" t="str">
        <f>"2019/06/25"</f>
        <v>2019/06/25</v>
      </c>
      <c r="J3060" t="str">
        <f>"420"</f>
        <v>420</v>
      </c>
      <c r="K3060" t="s">
        <v>18</v>
      </c>
      <c r="L3060" t="s">
        <v>18</v>
      </c>
      <c r="M3060" t="s">
        <v>18</v>
      </c>
    </row>
    <row r="3061" spans="1:13" x14ac:dyDescent="0.25">
      <c r="A3061" t="str">
        <f>"00829438"</f>
        <v>00829438</v>
      </c>
      <c r="B3061" t="s">
        <v>720</v>
      </c>
      <c r="C3061" t="s">
        <v>725</v>
      </c>
      <c r="D3061" t="s">
        <v>25</v>
      </c>
      <c r="E3061" t="s">
        <v>26</v>
      </c>
      <c r="F3061" t="s">
        <v>17</v>
      </c>
      <c r="G3061" t="str">
        <f>"10"</f>
        <v>10</v>
      </c>
      <c r="H3061" t="str">
        <f>"0  "</f>
        <v xml:space="preserve">0  </v>
      </c>
      <c r="I3061" t="str">
        <f>"2020/09/18"</f>
        <v>2020/09/18</v>
      </c>
      <c r="J3061" t="str">
        <f>"420"</f>
        <v>420</v>
      </c>
      <c r="K3061" t="s">
        <v>18</v>
      </c>
      <c r="L3061" t="s">
        <v>18</v>
      </c>
      <c r="M3061" t="s">
        <v>18</v>
      </c>
    </row>
    <row r="3062" spans="1:13" x14ac:dyDescent="0.25">
      <c r="A3062" t="str">
        <f>"00777486"</f>
        <v>00777486</v>
      </c>
      <c r="B3062" t="s">
        <v>728</v>
      </c>
      <c r="C3062" t="s">
        <v>729</v>
      </c>
      <c r="D3062" t="s">
        <v>25</v>
      </c>
      <c r="E3062" t="s">
        <v>26</v>
      </c>
      <c r="F3062" t="s">
        <v>17</v>
      </c>
      <c r="G3062" t="str">
        <f>"10"</f>
        <v>10</v>
      </c>
      <c r="H3062" t="str">
        <f>"3  "</f>
        <v xml:space="preserve">3  </v>
      </c>
      <c r="I3062" t="str">
        <f>"2016/01/27"</f>
        <v>2016/01/27</v>
      </c>
      <c r="J3062" t="str">
        <f>"110"</f>
        <v>110</v>
      </c>
      <c r="K3062" t="str">
        <f>"20211009"</f>
        <v>20211009</v>
      </c>
      <c r="L3062" t="s">
        <v>18</v>
      </c>
      <c r="M3062" t="str">
        <f>"20150128"</f>
        <v>20150128</v>
      </c>
    </row>
    <row r="3063" spans="1:13" x14ac:dyDescent="0.25">
      <c r="A3063" t="str">
        <f>"00818958"</f>
        <v>00818958</v>
      </c>
      <c r="B3063" t="s">
        <v>728</v>
      </c>
      <c r="C3063" t="s">
        <v>730</v>
      </c>
      <c r="D3063" t="s">
        <v>25</v>
      </c>
      <c r="E3063" t="s">
        <v>26</v>
      </c>
      <c r="F3063" t="s">
        <v>17</v>
      </c>
      <c r="G3063" t="str">
        <f>"10"</f>
        <v>10</v>
      </c>
      <c r="H3063" t="str">
        <f>"0  "</f>
        <v xml:space="preserve">0  </v>
      </c>
      <c r="I3063" t="str">
        <f>"2020/09/18"</f>
        <v>2020/09/18</v>
      </c>
      <c r="J3063" t="str">
        <f>"420"</f>
        <v>420</v>
      </c>
      <c r="K3063" t="s">
        <v>18</v>
      </c>
      <c r="L3063" t="s">
        <v>18</v>
      </c>
      <c r="M3063" t="s">
        <v>18</v>
      </c>
    </row>
    <row r="3064" spans="1:13" x14ac:dyDescent="0.25">
      <c r="A3064" t="str">
        <f>"00383294"</f>
        <v>00383294</v>
      </c>
      <c r="B3064" t="s">
        <v>736</v>
      </c>
      <c r="C3064" t="s">
        <v>96</v>
      </c>
      <c r="D3064" t="s">
        <v>45</v>
      </c>
      <c r="E3064" t="s">
        <v>16</v>
      </c>
      <c r="F3064" t="s">
        <v>17</v>
      </c>
      <c r="G3064" t="str">
        <f>"10"</f>
        <v>10</v>
      </c>
      <c r="H3064" t="str">
        <f>"0  "</f>
        <v xml:space="preserve">0  </v>
      </c>
      <c r="I3064" t="str">
        <f>"2020/06/14"</f>
        <v>2020/06/14</v>
      </c>
      <c r="J3064" t="str">
        <f>"420"</f>
        <v>420</v>
      </c>
      <c r="K3064" t="s">
        <v>18</v>
      </c>
      <c r="L3064" t="s">
        <v>18</v>
      </c>
      <c r="M3064" t="s">
        <v>18</v>
      </c>
    </row>
    <row r="3065" spans="1:13" x14ac:dyDescent="0.25">
      <c r="A3065" t="str">
        <f>"00565860"</f>
        <v>00565860</v>
      </c>
      <c r="B3065" t="s">
        <v>736</v>
      </c>
      <c r="C3065" t="s">
        <v>327</v>
      </c>
      <c r="D3065" t="s">
        <v>97</v>
      </c>
      <c r="E3065" t="s">
        <v>16</v>
      </c>
      <c r="F3065" t="s">
        <v>17</v>
      </c>
      <c r="G3065" t="str">
        <f>"10"</f>
        <v>10</v>
      </c>
      <c r="H3065" t="str">
        <f>"1  "</f>
        <v xml:space="preserve">1  </v>
      </c>
      <c r="I3065" t="str">
        <f>"2020/07/28"</f>
        <v>2020/07/28</v>
      </c>
      <c r="J3065" t="str">
        <f>"512"</f>
        <v>512</v>
      </c>
      <c r="K3065" t="str">
        <f>"20201021"</f>
        <v>20201021</v>
      </c>
      <c r="L3065" t="s">
        <v>18</v>
      </c>
      <c r="M3065" t="str">
        <f>"20200728"</f>
        <v>20200728</v>
      </c>
    </row>
    <row r="3066" spans="1:13" x14ac:dyDescent="0.25">
      <c r="A3066" t="str">
        <f>"00449346"</f>
        <v>00449346</v>
      </c>
      <c r="B3066" t="s">
        <v>736</v>
      </c>
      <c r="C3066" t="s">
        <v>36</v>
      </c>
      <c r="D3066" t="s">
        <v>15</v>
      </c>
      <c r="E3066" t="s">
        <v>26</v>
      </c>
      <c r="F3066" t="s">
        <v>17</v>
      </c>
      <c r="G3066" t="str">
        <f>"10"</f>
        <v>10</v>
      </c>
      <c r="H3066" t="str">
        <f>"3  "</f>
        <v xml:space="preserve">3  </v>
      </c>
      <c r="I3066" t="str">
        <f>"2019/10/29"</f>
        <v>2019/10/29</v>
      </c>
      <c r="J3066" t="str">
        <f>"110"</f>
        <v>110</v>
      </c>
      <c r="K3066" t="str">
        <f>"20210716"</f>
        <v>20210716</v>
      </c>
      <c r="L3066" t="s">
        <v>18</v>
      </c>
      <c r="M3066" t="str">
        <f>"20191026"</f>
        <v>20191026</v>
      </c>
    </row>
    <row r="3067" spans="1:13" x14ac:dyDescent="0.25">
      <c r="A3067" t="str">
        <f>"00831154"</f>
        <v>00831154</v>
      </c>
      <c r="B3067" t="s">
        <v>739</v>
      </c>
      <c r="C3067" t="s">
        <v>740</v>
      </c>
      <c r="D3067" t="s">
        <v>21</v>
      </c>
      <c r="E3067" t="s">
        <v>26</v>
      </c>
      <c r="F3067" t="s">
        <v>17</v>
      </c>
      <c r="G3067" t="str">
        <f>"10"</f>
        <v>10</v>
      </c>
      <c r="H3067" t="str">
        <f>"3  "</f>
        <v xml:space="preserve">3  </v>
      </c>
      <c r="I3067" t="str">
        <f>"2017/11/09"</f>
        <v>2017/11/09</v>
      </c>
      <c r="J3067" t="str">
        <f>"110"</f>
        <v>110</v>
      </c>
      <c r="K3067" t="str">
        <f>"20240514"</f>
        <v>20240514</v>
      </c>
      <c r="L3067" t="s">
        <v>18</v>
      </c>
      <c r="M3067" t="str">
        <f>"20160623"</f>
        <v>20160623</v>
      </c>
    </row>
    <row r="3068" spans="1:13" x14ac:dyDescent="0.25">
      <c r="A3068" t="str">
        <f>"00565911"</f>
        <v>00565911</v>
      </c>
      <c r="B3068" t="s">
        <v>741</v>
      </c>
      <c r="C3068" t="s">
        <v>524</v>
      </c>
      <c r="D3068" t="s">
        <v>21</v>
      </c>
      <c r="E3068" t="s">
        <v>26</v>
      </c>
      <c r="F3068" t="s">
        <v>17</v>
      </c>
      <c r="G3068" t="str">
        <f>"10"</f>
        <v>10</v>
      </c>
      <c r="H3068" t="str">
        <f>"0  "</f>
        <v xml:space="preserve">0  </v>
      </c>
      <c r="I3068" t="str">
        <f>"2020/08/28"</f>
        <v>2020/08/28</v>
      </c>
      <c r="J3068" t="str">
        <f>"420"</f>
        <v>420</v>
      </c>
      <c r="K3068" t="s">
        <v>18</v>
      </c>
      <c r="L3068" t="s">
        <v>18</v>
      </c>
      <c r="M3068" t="s">
        <v>18</v>
      </c>
    </row>
    <row r="3069" spans="1:13" x14ac:dyDescent="0.25">
      <c r="A3069" t="str">
        <f>"00646019"</f>
        <v>00646019</v>
      </c>
      <c r="B3069" t="s">
        <v>745</v>
      </c>
      <c r="C3069" t="s">
        <v>140</v>
      </c>
      <c r="D3069" t="s">
        <v>61</v>
      </c>
      <c r="E3069" t="s">
        <v>16</v>
      </c>
      <c r="F3069" t="s">
        <v>17</v>
      </c>
      <c r="G3069" t="str">
        <f>"10"</f>
        <v>10</v>
      </c>
      <c r="H3069" t="str">
        <f>"0  "</f>
        <v xml:space="preserve">0  </v>
      </c>
      <c r="I3069" t="str">
        <f>"2020/06/16"</f>
        <v>2020/06/16</v>
      </c>
      <c r="J3069" t="str">
        <f>"420"</f>
        <v>420</v>
      </c>
      <c r="K3069" t="s">
        <v>18</v>
      </c>
      <c r="L3069" t="s">
        <v>18</v>
      </c>
      <c r="M3069" t="s">
        <v>18</v>
      </c>
    </row>
    <row r="3070" spans="1:13" x14ac:dyDescent="0.25">
      <c r="A3070" t="str">
        <f>"00168277"</f>
        <v>00168277</v>
      </c>
      <c r="B3070" t="s">
        <v>748</v>
      </c>
      <c r="C3070" t="s">
        <v>150</v>
      </c>
      <c r="D3070" t="s">
        <v>51</v>
      </c>
      <c r="E3070" t="s">
        <v>16</v>
      </c>
      <c r="F3070" t="s">
        <v>17</v>
      </c>
      <c r="G3070" t="str">
        <f>"10"</f>
        <v>10</v>
      </c>
      <c r="H3070" t="str">
        <f>"3  "</f>
        <v xml:space="preserve">3  </v>
      </c>
      <c r="I3070" t="str">
        <f>"2020/09/18"</f>
        <v>2020/09/18</v>
      </c>
      <c r="J3070" t="str">
        <f>"503"</f>
        <v>503</v>
      </c>
      <c r="K3070" t="str">
        <f>"20230520"</f>
        <v>20230520</v>
      </c>
      <c r="L3070" t="s">
        <v>18</v>
      </c>
      <c r="M3070" t="str">
        <f>"20200825"</f>
        <v>20200825</v>
      </c>
    </row>
    <row r="3071" spans="1:13" x14ac:dyDescent="0.25">
      <c r="A3071" t="str">
        <f>"00755226"</f>
        <v>00755226</v>
      </c>
      <c r="B3071" t="s">
        <v>751</v>
      </c>
      <c r="C3071" t="s">
        <v>753</v>
      </c>
      <c r="D3071" t="s">
        <v>53</v>
      </c>
      <c r="E3071" t="s">
        <v>26</v>
      </c>
      <c r="F3071" t="s">
        <v>17</v>
      </c>
      <c r="G3071" t="str">
        <f>"10"</f>
        <v>10</v>
      </c>
      <c r="H3071" t="str">
        <f>"3  "</f>
        <v xml:space="preserve">3  </v>
      </c>
      <c r="I3071" t="str">
        <f>"2020/09/10"</f>
        <v>2020/09/10</v>
      </c>
      <c r="J3071" t="str">
        <f>"503"</f>
        <v>503</v>
      </c>
      <c r="K3071" t="str">
        <f>"20220116"</f>
        <v>20220116</v>
      </c>
      <c r="L3071" t="s">
        <v>18</v>
      </c>
      <c r="M3071" t="str">
        <f>"20200318"</f>
        <v>20200318</v>
      </c>
    </row>
    <row r="3072" spans="1:13" x14ac:dyDescent="0.25">
      <c r="A3072" t="str">
        <f>"00773285"</f>
        <v>00773285</v>
      </c>
      <c r="B3072" t="s">
        <v>759</v>
      </c>
      <c r="C3072" t="s">
        <v>176</v>
      </c>
      <c r="D3072" t="s">
        <v>21</v>
      </c>
      <c r="E3072" t="s">
        <v>26</v>
      </c>
      <c r="F3072" t="s">
        <v>17</v>
      </c>
      <c r="G3072" t="str">
        <f>"10"</f>
        <v>10</v>
      </c>
      <c r="H3072" t="str">
        <f>"0  "</f>
        <v xml:space="preserve">0  </v>
      </c>
      <c r="I3072" t="str">
        <f>"2020/07/15"</f>
        <v>2020/07/15</v>
      </c>
      <c r="J3072" t="str">
        <f>"420"</f>
        <v>420</v>
      </c>
      <c r="K3072" t="s">
        <v>18</v>
      </c>
      <c r="L3072" t="s">
        <v>18</v>
      </c>
      <c r="M3072" t="s">
        <v>18</v>
      </c>
    </row>
    <row r="3073" spans="1:13" x14ac:dyDescent="0.25">
      <c r="A3073" t="str">
        <f>"00523129"</f>
        <v>00523129</v>
      </c>
      <c r="B3073" t="s">
        <v>763</v>
      </c>
      <c r="C3073" t="s">
        <v>764</v>
      </c>
      <c r="D3073" t="s">
        <v>37</v>
      </c>
      <c r="E3073" t="s">
        <v>26</v>
      </c>
      <c r="F3073" t="s">
        <v>17</v>
      </c>
      <c r="G3073" t="str">
        <f>"10"</f>
        <v>10</v>
      </c>
      <c r="H3073" t="str">
        <f>"3  "</f>
        <v xml:space="preserve">3  </v>
      </c>
      <c r="I3073" t="str">
        <f>"2020/01/31"</f>
        <v>2020/01/31</v>
      </c>
      <c r="J3073" t="str">
        <f>"110"</f>
        <v>110</v>
      </c>
      <c r="K3073" t="str">
        <f>"20240505"</f>
        <v>20240505</v>
      </c>
      <c r="L3073" t="s">
        <v>18</v>
      </c>
      <c r="M3073" t="str">
        <f>"20191022"</f>
        <v>20191022</v>
      </c>
    </row>
    <row r="3074" spans="1:13" x14ac:dyDescent="0.25">
      <c r="A3074" t="str">
        <f>"00239679"</f>
        <v>00239679</v>
      </c>
      <c r="B3074" t="s">
        <v>763</v>
      </c>
      <c r="C3074" t="s">
        <v>765</v>
      </c>
      <c r="D3074" t="s">
        <v>121</v>
      </c>
      <c r="E3074" t="s">
        <v>26</v>
      </c>
      <c r="F3074" t="s">
        <v>17</v>
      </c>
      <c r="G3074" t="str">
        <f>"10"</f>
        <v>10</v>
      </c>
      <c r="H3074" t="str">
        <f>"3  "</f>
        <v xml:space="preserve">3  </v>
      </c>
      <c r="I3074" t="str">
        <f>"2018/08/31"</f>
        <v>2018/08/31</v>
      </c>
      <c r="J3074" t="str">
        <f>"110"</f>
        <v>110</v>
      </c>
      <c r="K3074" t="str">
        <f>"20211202"</f>
        <v>20211202</v>
      </c>
      <c r="L3074" t="s">
        <v>18</v>
      </c>
      <c r="M3074" t="str">
        <f>"20180725"</f>
        <v>20180725</v>
      </c>
    </row>
    <row r="3075" spans="1:13" x14ac:dyDescent="0.25">
      <c r="A3075" t="str">
        <f>"00680112"</f>
        <v>00680112</v>
      </c>
      <c r="B3075" t="s">
        <v>771</v>
      </c>
      <c r="C3075" t="s">
        <v>140</v>
      </c>
      <c r="D3075" t="s">
        <v>25</v>
      </c>
      <c r="E3075" t="s">
        <v>16</v>
      </c>
      <c r="F3075" t="s">
        <v>17</v>
      </c>
      <c r="G3075" t="str">
        <f>"10"</f>
        <v>10</v>
      </c>
      <c r="H3075" t="str">
        <f>"1  "</f>
        <v xml:space="preserve">1  </v>
      </c>
      <c r="I3075" t="str">
        <f>"2020/09/14"</f>
        <v>2020/09/14</v>
      </c>
      <c r="J3075" t="str">
        <f>"110"</f>
        <v>110</v>
      </c>
      <c r="K3075" t="str">
        <f>"20201108"</f>
        <v>20201108</v>
      </c>
      <c r="L3075" t="s">
        <v>18</v>
      </c>
      <c r="M3075" t="str">
        <f>"20200914"</f>
        <v>20200914</v>
      </c>
    </row>
    <row r="3076" spans="1:13" x14ac:dyDescent="0.25">
      <c r="A3076" t="str">
        <f>"00267944"</f>
        <v>00267944</v>
      </c>
      <c r="B3076" t="s">
        <v>771</v>
      </c>
      <c r="C3076" t="s">
        <v>378</v>
      </c>
      <c r="D3076" t="s">
        <v>47</v>
      </c>
      <c r="E3076" t="s">
        <v>26</v>
      </c>
      <c r="F3076" t="s">
        <v>17</v>
      </c>
      <c r="G3076" t="str">
        <f>"10"</f>
        <v>10</v>
      </c>
      <c r="H3076" t="str">
        <f>"3  "</f>
        <v xml:space="preserve">3  </v>
      </c>
      <c r="I3076" t="str">
        <f>"2019/12/06"</f>
        <v>2019/12/06</v>
      </c>
      <c r="J3076" t="str">
        <f>"110"</f>
        <v>110</v>
      </c>
      <c r="K3076" t="str">
        <f>"20260808"</f>
        <v>20260808</v>
      </c>
      <c r="L3076" t="s">
        <v>18</v>
      </c>
      <c r="M3076" t="str">
        <f>"20190526"</f>
        <v>20190526</v>
      </c>
    </row>
    <row r="3077" spans="1:13" x14ac:dyDescent="0.25">
      <c r="A3077" t="str">
        <f>"00414886"</f>
        <v>00414886</v>
      </c>
      <c r="B3077" t="s">
        <v>771</v>
      </c>
      <c r="C3077" t="s">
        <v>122</v>
      </c>
      <c r="D3077" t="s">
        <v>40</v>
      </c>
      <c r="E3077" t="s">
        <v>16</v>
      </c>
      <c r="F3077" t="s">
        <v>17</v>
      </c>
      <c r="G3077" t="str">
        <f>"10"</f>
        <v>10</v>
      </c>
      <c r="H3077" t="str">
        <f>"0  "</f>
        <v xml:space="preserve">0  </v>
      </c>
      <c r="I3077" t="str">
        <f>"2019/06/06"</f>
        <v>2019/06/06</v>
      </c>
      <c r="J3077" t="str">
        <f>"420"</f>
        <v>420</v>
      </c>
      <c r="K3077" t="s">
        <v>18</v>
      </c>
      <c r="L3077" t="s">
        <v>18</v>
      </c>
      <c r="M3077" t="s">
        <v>18</v>
      </c>
    </row>
    <row r="3078" spans="1:13" x14ac:dyDescent="0.25">
      <c r="A3078" t="str">
        <f>"00829772"</f>
        <v>00829772</v>
      </c>
      <c r="B3078" t="s">
        <v>771</v>
      </c>
      <c r="C3078" t="s">
        <v>601</v>
      </c>
      <c r="D3078" t="s">
        <v>456</v>
      </c>
      <c r="E3078" t="s">
        <v>26</v>
      </c>
      <c r="F3078" t="s">
        <v>17</v>
      </c>
      <c r="G3078" t="str">
        <f>"10"</f>
        <v>10</v>
      </c>
      <c r="H3078" t="str">
        <f>"0  "</f>
        <v xml:space="preserve">0  </v>
      </c>
      <c r="I3078" t="str">
        <f>"2019/06/10"</f>
        <v>2019/06/10</v>
      </c>
      <c r="J3078" t="str">
        <f>"420"</f>
        <v>420</v>
      </c>
      <c r="K3078" t="s">
        <v>18</v>
      </c>
      <c r="L3078" t="s">
        <v>18</v>
      </c>
      <c r="M3078" t="s">
        <v>18</v>
      </c>
    </row>
    <row r="3079" spans="1:13" x14ac:dyDescent="0.25">
      <c r="A3079" t="str">
        <f>"00585684"</f>
        <v>00585684</v>
      </c>
      <c r="B3079" t="s">
        <v>792</v>
      </c>
      <c r="C3079" t="s">
        <v>793</v>
      </c>
      <c r="D3079" t="s">
        <v>21</v>
      </c>
      <c r="E3079" t="s">
        <v>26</v>
      </c>
      <c r="F3079" t="s">
        <v>17</v>
      </c>
      <c r="G3079" t="str">
        <f>"10"</f>
        <v>10</v>
      </c>
      <c r="H3079" t="str">
        <f>"3  "</f>
        <v xml:space="preserve">3  </v>
      </c>
      <c r="I3079" t="str">
        <f>"2018/10/16"</f>
        <v>2018/10/16</v>
      </c>
      <c r="J3079" t="str">
        <f>"110"</f>
        <v>110</v>
      </c>
      <c r="K3079" t="str">
        <f>"20210304"</f>
        <v>20210304</v>
      </c>
      <c r="L3079" t="s">
        <v>18</v>
      </c>
      <c r="M3079" t="str">
        <f>"20180629"</f>
        <v>20180629</v>
      </c>
    </row>
    <row r="3080" spans="1:13" x14ac:dyDescent="0.25">
      <c r="A3080" t="str">
        <f>"00312510"</f>
        <v>00312510</v>
      </c>
      <c r="B3080" t="s">
        <v>795</v>
      </c>
      <c r="C3080" t="s">
        <v>796</v>
      </c>
      <c r="D3080" t="s">
        <v>21</v>
      </c>
      <c r="E3080" t="s">
        <v>26</v>
      </c>
      <c r="F3080" t="s">
        <v>17</v>
      </c>
      <c r="G3080" t="str">
        <f>"10"</f>
        <v>10</v>
      </c>
      <c r="H3080" t="str">
        <f>"3  "</f>
        <v xml:space="preserve">3  </v>
      </c>
      <c r="I3080" t="str">
        <f>"2014/01/31"</f>
        <v>2014/01/31</v>
      </c>
      <c r="J3080" t="str">
        <f>"110"</f>
        <v>110</v>
      </c>
      <c r="K3080" t="str">
        <f>"20230726"</f>
        <v>20230726</v>
      </c>
      <c r="L3080" t="s">
        <v>18</v>
      </c>
      <c r="M3080" t="str">
        <f>"20121106"</f>
        <v>20121106</v>
      </c>
    </row>
    <row r="3081" spans="1:13" x14ac:dyDescent="0.25">
      <c r="A3081" t="str">
        <f>"00769726"</f>
        <v>00769726</v>
      </c>
      <c r="B3081" t="s">
        <v>797</v>
      </c>
      <c r="C3081" t="s">
        <v>329</v>
      </c>
      <c r="D3081" t="s">
        <v>31</v>
      </c>
      <c r="E3081" t="s">
        <v>26</v>
      </c>
      <c r="F3081" t="s">
        <v>17</v>
      </c>
      <c r="G3081" t="str">
        <f>"10"</f>
        <v>10</v>
      </c>
      <c r="H3081" t="str">
        <f>"3  "</f>
        <v xml:space="preserve">3  </v>
      </c>
      <c r="I3081" t="str">
        <f>"2016/10/13"</f>
        <v>2016/10/13</v>
      </c>
      <c r="J3081" t="str">
        <f>"110"</f>
        <v>110</v>
      </c>
      <c r="K3081" t="str">
        <f>"20231126"</f>
        <v>20231126</v>
      </c>
      <c r="L3081" t="s">
        <v>18</v>
      </c>
      <c r="M3081" t="str">
        <f>"20150330"</f>
        <v>20150330</v>
      </c>
    </row>
    <row r="3082" spans="1:13" x14ac:dyDescent="0.25">
      <c r="A3082" t="str">
        <f>"00806718"</f>
        <v>00806718</v>
      </c>
      <c r="B3082" t="s">
        <v>814</v>
      </c>
      <c r="C3082" t="s">
        <v>815</v>
      </c>
      <c r="D3082" t="s">
        <v>25</v>
      </c>
      <c r="E3082" t="s">
        <v>26</v>
      </c>
      <c r="F3082" t="s">
        <v>17</v>
      </c>
      <c r="G3082" t="str">
        <f>"10"</f>
        <v>10</v>
      </c>
      <c r="H3082" t="str">
        <f>"0  "</f>
        <v xml:space="preserve">0  </v>
      </c>
      <c r="I3082" t="str">
        <f>"2019/10/19"</f>
        <v>2019/10/19</v>
      </c>
      <c r="J3082" t="str">
        <f>"420"</f>
        <v>420</v>
      </c>
      <c r="K3082" t="s">
        <v>18</v>
      </c>
      <c r="L3082" t="s">
        <v>18</v>
      </c>
      <c r="M3082" t="s">
        <v>18</v>
      </c>
    </row>
    <row r="3083" spans="1:13" x14ac:dyDescent="0.25">
      <c r="A3083" t="str">
        <f>"00269506"</f>
        <v>00269506</v>
      </c>
      <c r="B3083" t="s">
        <v>816</v>
      </c>
      <c r="C3083" t="s">
        <v>44</v>
      </c>
      <c r="D3083" t="s">
        <v>25</v>
      </c>
      <c r="E3083" t="s">
        <v>16</v>
      </c>
      <c r="F3083" t="s">
        <v>17</v>
      </c>
      <c r="G3083" t="str">
        <f>"10"</f>
        <v>10</v>
      </c>
      <c r="H3083" t="str">
        <f>"1  "</f>
        <v xml:space="preserve">1  </v>
      </c>
      <c r="I3083" t="str">
        <f>"2020/09/09"</f>
        <v>2020/09/09</v>
      </c>
      <c r="J3083" t="str">
        <f>"110"</f>
        <v>110</v>
      </c>
      <c r="K3083" t="str">
        <f>"20201006"</f>
        <v>20201006</v>
      </c>
      <c r="L3083" t="s">
        <v>18</v>
      </c>
      <c r="M3083" t="str">
        <f>"20200909"</f>
        <v>20200909</v>
      </c>
    </row>
    <row r="3084" spans="1:13" x14ac:dyDescent="0.25">
      <c r="A3084" t="str">
        <f>"00586686"</f>
        <v>00586686</v>
      </c>
      <c r="B3084" t="s">
        <v>816</v>
      </c>
      <c r="C3084" t="s">
        <v>817</v>
      </c>
      <c r="D3084" t="s">
        <v>25</v>
      </c>
      <c r="E3084" t="s">
        <v>16</v>
      </c>
      <c r="F3084" t="s">
        <v>17</v>
      </c>
      <c r="G3084" t="str">
        <f>"10"</f>
        <v>10</v>
      </c>
      <c r="H3084" t="str">
        <f>"3  "</f>
        <v xml:space="preserve">3  </v>
      </c>
      <c r="I3084" t="str">
        <f>"2015/07/31"</f>
        <v>2015/07/31</v>
      </c>
      <c r="J3084" t="str">
        <f>"110"</f>
        <v>110</v>
      </c>
      <c r="K3084" t="str">
        <f>"20220507"</f>
        <v>20220507</v>
      </c>
      <c r="L3084" t="s">
        <v>18</v>
      </c>
      <c r="M3084" t="str">
        <f>"20140430"</f>
        <v>20140430</v>
      </c>
    </row>
    <row r="3085" spans="1:13" x14ac:dyDescent="0.25">
      <c r="A3085" t="str">
        <f>"00318139"</f>
        <v>00318139</v>
      </c>
      <c r="B3085" t="s">
        <v>823</v>
      </c>
      <c r="C3085" t="s">
        <v>36</v>
      </c>
      <c r="D3085" t="s">
        <v>15</v>
      </c>
      <c r="E3085" t="s">
        <v>16</v>
      </c>
      <c r="F3085" t="s">
        <v>17</v>
      </c>
      <c r="G3085" t="str">
        <f>"10"</f>
        <v>10</v>
      </c>
      <c r="H3085" t="str">
        <f>"3  "</f>
        <v xml:space="preserve">3  </v>
      </c>
      <c r="I3085" t="str">
        <f>"2019/09/05"</f>
        <v>2019/09/05</v>
      </c>
      <c r="J3085" t="str">
        <f>"110"</f>
        <v>110</v>
      </c>
      <c r="K3085" t="str">
        <f>"20201206"</f>
        <v>20201206</v>
      </c>
      <c r="L3085" t="s">
        <v>18</v>
      </c>
      <c r="M3085" t="str">
        <f>"20190805"</f>
        <v>20190805</v>
      </c>
    </row>
    <row r="3086" spans="1:13" x14ac:dyDescent="0.25">
      <c r="A3086" t="str">
        <f>"00690981"</f>
        <v>00690981</v>
      </c>
      <c r="B3086" t="s">
        <v>825</v>
      </c>
      <c r="C3086" t="s">
        <v>235</v>
      </c>
      <c r="D3086" t="s">
        <v>21</v>
      </c>
      <c r="E3086" t="s">
        <v>16</v>
      </c>
      <c r="F3086" t="s">
        <v>17</v>
      </c>
      <c r="G3086" t="str">
        <f>"10"</f>
        <v>10</v>
      </c>
      <c r="H3086" t="str">
        <f>"0  "</f>
        <v xml:space="preserve">0  </v>
      </c>
      <c r="I3086" t="str">
        <f>"2020/09/03"</f>
        <v>2020/09/03</v>
      </c>
      <c r="J3086" t="str">
        <f>"420"</f>
        <v>420</v>
      </c>
      <c r="K3086" t="s">
        <v>18</v>
      </c>
      <c r="L3086" t="s">
        <v>18</v>
      </c>
      <c r="M3086" t="s">
        <v>18</v>
      </c>
    </row>
    <row r="3087" spans="1:13" x14ac:dyDescent="0.25">
      <c r="A3087" t="str">
        <f>"00506449"</f>
        <v>00506449</v>
      </c>
      <c r="B3087" t="s">
        <v>826</v>
      </c>
      <c r="C3087" t="s">
        <v>437</v>
      </c>
      <c r="D3087" t="s">
        <v>21</v>
      </c>
      <c r="E3087" t="s">
        <v>26</v>
      </c>
      <c r="F3087" t="s">
        <v>17</v>
      </c>
      <c r="G3087" t="str">
        <f>"10"</f>
        <v>10</v>
      </c>
      <c r="H3087" t="str">
        <f>"0  "</f>
        <v xml:space="preserve">0  </v>
      </c>
      <c r="I3087" t="str">
        <f>"2020/07/14"</f>
        <v>2020/07/14</v>
      </c>
      <c r="J3087" t="str">
        <f>"420"</f>
        <v>420</v>
      </c>
      <c r="K3087" t="s">
        <v>18</v>
      </c>
      <c r="L3087" t="s">
        <v>18</v>
      </c>
      <c r="M3087" t="s">
        <v>18</v>
      </c>
    </row>
    <row r="3088" spans="1:13" x14ac:dyDescent="0.25">
      <c r="A3088" t="str">
        <f>"00452941"</f>
        <v>00452941</v>
      </c>
      <c r="B3088" t="s">
        <v>826</v>
      </c>
      <c r="C3088" t="s">
        <v>118</v>
      </c>
      <c r="D3088" t="s">
        <v>80</v>
      </c>
      <c r="E3088" t="s">
        <v>26</v>
      </c>
      <c r="F3088" t="s">
        <v>17</v>
      </c>
      <c r="G3088" t="str">
        <f>"10"</f>
        <v>10</v>
      </c>
      <c r="H3088" t="str">
        <f>"3  "</f>
        <v xml:space="preserve">3  </v>
      </c>
      <c r="I3088" t="str">
        <f>"2020/01/24"</f>
        <v>2020/01/24</v>
      </c>
      <c r="J3088" t="str">
        <f>"110"</f>
        <v>110</v>
      </c>
      <c r="K3088" t="str">
        <f>"20220727"</f>
        <v>20220727</v>
      </c>
      <c r="L3088" t="s">
        <v>18</v>
      </c>
      <c r="M3088" t="str">
        <f>"20190612"</f>
        <v>20190612</v>
      </c>
    </row>
    <row r="3089" spans="1:13" x14ac:dyDescent="0.25">
      <c r="A3089" t="str">
        <f>"00672641"</f>
        <v>00672641</v>
      </c>
      <c r="B3089" t="s">
        <v>826</v>
      </c>
      <c r="C3089" t="s">
        <v>725</v>
      </c>
      <c r="D3089" t="s">
        <v>25</v>
      </c>
      <c r="E3089" t="s">
        <v>26</v>
      </c>
      <c r="F3089" t="s">
        <v>17</v>
      </c>
      <c r="G3089" t="str">
        <f>"10"</f>
        <v>10</v>
      </c>
      <c r="H3089" t="str">
        <f>"3  "</f>
        <v xml:space="preserve">3  </v>
      </c>
      <c r="I3089" t="str">
        <f>"2020/07/29"</f>
        <v>2020/07/29</v>
      </c>
      <c r="J3089" t="str">
        <f>"534"</f>
        <v>534</v>
      </c>
      <c r="K3089" t="str">
        <f>"20210319"</f>
        <v>20210319</v>
      </c>
      <c r="L3089" t="s">
        <v>18</v>
      </c>
      <c r="M3089" t="str">
        <f>"20180701"</f>
        <v>20180701</v>
      </c>
    </row>
    <row r="3090" spans="1:13" x14ac:dyDescent="0.25">
      <c r="A3090" t="str">
        <f>"00884892"</f>
        <v>00884892</v>
      </c>
      <c r="B3090" t="s">
        <v>834</v>
      </c>
      <c r="C3090" t="s">
        <v>835</v>
      </c>
      <c r="D3090" t="s">
        <v>15</v>
      </c>
      <c r="E3090" t="s">
        <v>26</v>
      </c>
      <c r="F3090" t="s">
        <v>17</v>
      </c>
      <c r="G3090" t="str">
        <f>"10"</f>
        <v>10</v>
      </c>
      <c r="H3090" t="str">
        <f>"0  "</f>
        <v xml:space="preserve">0  </v>
      </c>
      <c r="I3090" t="str">
        <f>"2020/01/08"</f>
        <v>2020/01/08</v>
      </c>
      <c r="J3090" t="str">
        <f>"420"</f>
        <v>420</v>
      </c>
      <c r="K3090" t="s">
        <v>18</v>
      </c>
      <c r="L3090" t="s">
        <v>18</v>
      </c>
      <c r="M3090" t="s">
        <v>18</v>
      </c>
    </row>
    <row r="3091" spans="1:13" x14ac:dyDescent="0.25">
      <c r="A3091" t="str">
        <f>"00318930"</f>
        <v>00318930</v>
      </c>
      <c r="B3091" t="s">
        <v>837</v>
      </c>
      <c r="C3091" t="s">
        <v>327</v>
      </c>
      <c r="D3091" t="s">
        <v>73</v>
      </c>
      <c r="E3091" t="s">
        <v>16</v>
      </c>
      <c r="F3091" t="s">
        <v>17</v>
      </c>
      <c r="G3091" t="str">
        <f>"10"</f>
        <v>10</v>
      </c>
      <c r="H3091" t="str">
        <f>"3  "</f>
        <v xml:space="preserve">3  </v>
      </c>
      <c r="I3091" t="str">
        <f>"2018/08/13"</f>
        <v>2018/08/13</v>
      </c>
      <c r="J3091" t="str">
        <f>"110"</f>
        <v>110</v>
      </c>
      <c r="K3091" t="str">
        <f>"20211113"</f>
        <v>20211113</v>
      </c>
      <c r="L3091" t="s">
        <v>18</v>
      </c>
      <c r="M3091" t="str">
        <f>"20170723"</f>
        <v>20170723</v>
      </c>
    </row>
    <row r="3092" spans="1:13" x14ac:dyDescent="0.25">
      <c r="A3092" t="str">
        <f>"00263164"</f>
        <v>00263164</v>
      </c>
      <c r="B3092" t="s">
        <v>838</v>
      </c>
      <c r="C3092" t="s">
        <v>327</v>
      </c>
      <c r="D3092" t="s">
        <v>15</v>
      </c>
      <c r="E3092" t="s">
        <v>16</v>
      </c>
      <c r="F3092" t="s">
        <v>17</v>
      </c>
      <c r="G3092" t="str">
        <f>"10"</f>
        <v>10</v>
      </c>
      <c r="H3092" t="str">
        <f>"0  "</f>
        <v xml:space="preserve">0  </v>
      </c>
      <c r="I3092" t="str">
        <f>"2020/09/02"</f>
        <v>2020/09/02</v>
      </c>
      <c r="J3092" t="str">
        <f>"420"</f>
        <v>420</v>
      </c>
      <c r="K3092" t="s">
        <v>18</v>
      </c>
      <c r="L3092" t="s">
        <v>18</v>
      </c>
      <c r="M3092" t="s">
        <v>18</v>
      </c>
    </row>
    <row r="3093" spans="1:13" x14ac:dyDescent="0.25">
      <c r="A3093" t="str">
        <f>"00237306"</f>
        <v>00237306</v>
      </c>
      <c r="B3093" t="s">
        <v>839</v>
      </c>
      <c r="C3093" t="s">
        <v>840</v>
      </c>
      <c r="D3093" t="s">
        <v>37</v>
      </c>
      <c r="E3093" t="s">
        <v>26</v>
      </c>
      <c r="F3093" t="s">
        <v>17</v>
      </c>
      <c r="G3093" t="str">
        <f>"10"</f>
        <v>10</v>
      </c>
      <c r="H3093" t="str">
        <f>"0  "</f>
        <v xml:space="preserve">0  </v>
      </c>
      <c r="I3093" t="str">
        <f>"2019/10/10"</f>
        <v>2019/10/10</v>
      </c>
      <c r="J3093" t="str">
        <f>"420"</f>
        <v>420</v>
      </c>
      <c r="K3093" t="s">
        <v>18</v>
      </c>
      <c r="L3093" t="s">
        <v>18</v>
      </c>
      <c r="M3093" t="s">
        <v>18</v>
      </c>
    </row>
    <row r="3094" spans="1:13" x14ac:dyDescent="0.25">
      <c r="A3094" t="str">
        <f>"00724729"</f>
        <v>00724729</v>
      </c>
      <c r="B3094" t="s">
        <v>841</v>
      </c>
      <c r="C3094" t="s">
        <v>842</v>
      </c>
      <c r="D3094" t="s">
        <v>53</v>
      </c>
      <c r="E3094" t="s">
        <v>16</v>
      </c>
      <c r="F3094" t="s">
        <v>17</v>
      </c>
      <c r="G3094" t="str">
        <f>"10"</f>
        <v>10</v>
      </c>
      <c r="H3094" t="str">
        <f>"3  "</f>
        <v xml:space="preserve">3  </v>
      </c>
      <c r="I3094" t="str">
        <f>"2020/09/21"</f>
        <v>2020/09/21</v>
      </c>
      <c r="J3094" t="str">
        <f>"110"</f>
        <v>110</v>
      </c>
      <c r="K3094" t="str">
        <f>"20230604"</f>
        <v>20230604</v>
      </c>
      <c r="L3094" t="s">
        <v>18</v>
      </c>
      <c r="M3094" t="str">
        <f>"20200921"</f>
        <v>20200921</v>
      </c>
    </row>
    <row r="3095" spans="1:13" x14ac:dyDescent="0.25">
      <c r="A3095" t="str">
        <f>"00815316"</f>
        <v>00815316</v>
      </c>
      <c r="B3095" t="s">
        <v>844</v>
      </c>
      <c r="C3095" t="s">
        <v>845</v>
      </c>
      <c r="D3095" t="s">
        <v>25</v>
      </c>
      <c r="E3095" t="s">
        <v>16</v>
      </c>
      <c r="F3095" t="s">
        <v>17</v>
      </c>
      <c r="G3095" t="str">
        <f>"10"</f>
        <v>10</v>
      </c>
      <c r="H3095" t="str">
        <f>"0  "</f>
        <v xml:space="preserve">0  </v>
      </c>
      <c r="I3095" t="str">
        <f>"2020/03/06"</f>
        <v>2020/03/06</v>
      </c>
      <c r="J3095" t="str">
        <f>"420"</f>
        <v>420</v>
      </c>
      <c r="K3095" t="s">
        <v>18</v>
      </c>
      <c r="L3095" t="s">
        <v>18</v>
      </c>
      <c r="M3095" t="s">
        <v>18</v>
      </c>
    </row>
    <row r="3096" spans="1:13" x14ac:dyDescent="0.25">
      <c r="A3096" t="str">
        <f>"00509907"</f>
        <v>00509907</v>
      </c>
      <c r="B3096" t="s">
        <v>846</v>
      </c>
      <c r="C3096" t="s">
        <v>847</v>
      </c>
      <c r="D3096" t="s">
        <v>25</v>
      </c>
      <c r="E3096" t="s">
        <v>16</v>
      </c>
      <c r="F3096" t="s">
        <v>17</v>
      </c>
      <c r="G3096" t="str">
        <f>"10"</f>
        <v>10</v>
      </c>
      <c r="H3096" t="str">
        <f>"3  "</f>
        <v xml:space="preserve">3  </v>
      </c>
      <c r="I3096" t="str">
        <f>"2017/03/14"</f>
        <v>2017/03/14</v>
      </c>
      <c r="J3096" t="str">
        <f>"110"</f>
        <v>110</v>
      </c>
      <c r="K3096" t="str">
        <f>"20210504"</f>
        <v>20210504</v>
      </c>
      <c r="L3096" t="s">
        <v>18</v>
      </c>
      <c r="M3096" t="str">
        <f>"20160513"</f>
        <v>20160513</v>
      </c>
    </row>
    <row r="3097" spans="1:13" x14ac:dyDescent="0.25">
      <c r="A3097" t="str">
        <f>"00540094"</f>
        <v>00540094</v>
      </c>
      <c r="B3097" t="s">
        <v>858</v>
      </c>
      <c r="C3097" t="s">
        <v>269</v>
      </c>
      <c r="D3097" t="s">
        <v>61</v>
      </c>
      <c r="E3097" t="s">
        <v>26</v>
      </c>
      <c r="F3097" t="s">
        <v>17</v>
      </c>
      <c r="G3097" t="str">
        <f>"10"</f>
        <v>10</v>
      </c>
      <c r="H3097" t="str">
        <f>"3  "</f>
        <v xml:space="preserve">3  </v>
      </c>
      <c r="I3097" t="str">
        <f>"2018/01/08"</f>
        <v>2018/01/08</v>
      </c>
      <c r="J3097" t="str">
        <f>"110"</f>
        <v>110</v>
      </c>
      <c r="K3097" t="str">
        <f>"20210708"</f>
        <v>20210708</v>
      </c>
      <c r="L3097" t="s">
        <v>18</v>
      </c>
      <c r="M3097" t="str">
        <f>"20170617"</f>
        <v>20170617</v>
      </c>
    </row>
    <row r="3098" spans="1:13" x14ac:dyDescent="0.25">
      <c r="A3098" t="str">
        <f>"00654036"</f>
        <v>00654036</v>
      </c>
      <c r="B3098" t="s">
        <v>859</v>
      </c>
      <c r="C3098" t="s">
        <v>861</v>
      </c>
      <c r="D3098" t="s">
        <v>97</v>
      </c>
      <c r="E3098" t="s">
        <v>26</v>
      </c>
      <c r="F3098" t="s">
        <v>17</v>
      </c>
      <c r="G3098" t="str">
        <f>"10"</f>
        <v>10</v>
      </c>
      <c r="H3098" t="str">
        <f>"0  "</f>
        <v xml:space="preserve">0  </v>
      </c>
      <c r="I3098" t="str">
        <f>"2020/09/11"</f>
        <v>2020/09/11</v>
      </c>
      <c r="J3098" t="str">
        <f>"420"</f>
        <v>420</v>
      </c>
      <c r="K3098" t="s">
        <v>18</v>
      </c>
      <c r="L3098" t="s">
        <v>18</v>
      </c>
      <c r="M3098" t="s">
        <v>18</v>
      </c>
    </row>
    <row r="3099" spans="1:13" x14ac:dyDescent="0.25">
      <c r="A3099" t="str">
        <f>"00381336"</f>
        <v>00381336</v>
      </c>
      <c r="B3099" t="s">
        <v>863</v>
      </c>
      <c r="C3099" t="s">
        <v>49</v>
      </c>
      <c r="D3099" t="s">
        <v>80</v>
      </c>
      <c r="E3099" t="s">
        <v>16</v>
      </c>
      <c r="F3099" t="s">
        <v>17</v>
      </c>
      <c r="G3099" t="str">
        <f>"10"</f>
        <v>10</v>
      </c>
      <c r="H3099" t="str">
        <f>"3  "</f>
        <v xml:space="preserve">3  </v>
      </c>
      <c r="I3099" t="str">
        <f>"2020/02/14"</f>
        <v>2020/02/14</v>
      </c>
      <c r="J3099" t="str">
        <f>"512"</f>
        <v>512</v>
      </c>
      <c r="K3099" t="str">
        <f>"20210503"</f>
        <v>20210503</v>
      </c>
      <c r="L3099" t="s">
        <v>18</v>
      </c>
      <c r="M3099" t="str">
        <f>"20200115"</f>
        <v>20200115</v>
      </c>
    </row>
    <row r="3100" spans="1:13" x14ac:dyDescent="0.25">
      <c r="A3100" t="str">
        <f>"00891490"</f>
        <v>00891490</v>
      </c>
      <c r="B3100" t="s">
        <v>865</v>
      </c>
      <c r="C3100" t="s">
        <v>104</v>
      </c>
      <c r="D3100" t="s">
        <v>182</v>
      </c>
      <c r="E3100" t="s">
        <v>26</v>
      </c>
      <c r="F3100" t="s">
        <v>17</v>
      </c>
      <c r="G3100" t="str">
        <f>"10"</f>
        <v>10</v>
      </c>
      <c r="H3100" t="str">
        <f>"3  "</f>
        <v xml:space="preserve">3  </v>
      </c>
      <c r="I3100" t="str">
        <f>"2019/08/14"</f>
        <v>2019/08/14</v>
      </c>
      <c r="J3100" t="str">
        <f>"110"</f>
        <v>110</v>
      </c>
      <c r="K3100" t="str">
        <f>"20201213"</f>
        <v>20201213</v>
      </c>
      <c r="L3100" t="s">
        <v>18</v>
      </c>
      <c r="M3100" t="str">
        <f>"20181003"</f>
        <v>20181003</v>
      </c>
    </row>
    <row r="3101" spans="1:13" x14ac:dyDescent="0.25">
      <c r="A3101" t="str">
        <f>"00554591"</f>
        <v>00554591</v>
      </c>
      <c r="B3101" t="s">
        <v>869</v>
      </c>
      <c r="C3101" t="s">
        <v>304</v>
      </c>
      <c r="D3101" t="s">
        <v>21</v>
      </c>
      <c r="E3101" t="s">
        <v>26</v>
      </c>
      <c r="F3101" t="s">
        <v>17</v>
      </c>
      <c r="G3101" t="str">
        <f>"10"</f>
        <v>10</v>
      </c>
      <c r="H3101" t="str">
        <f>"0  "</f>
        <v xml:space="preserve">0  </v>
      </c>
      <c r="I3101" t="str">
        <f>"2020/07/03"</f>
        <v>2020/07/03</v>
      </c>
      <c r="J3101" t="str">
        <f>"420"</f>
        <v>420</v>
      </c>
      <c r="K3101" t="s">
        <v>18</v>
      </c>
      <c r="L3101" t="s">
        <v>18</v>
      </c>
      <c r="M3101" t="s">
        <v>18</v>
      </c>
    </row>
    <row r="3102" spans="1:13" x14ac:dyDescent="0.25">
      <c r="A3102" t="str">
        <f>"00205353"</f>
        <v>00205353</v>
      </c>
      <c r="B3102" t="s">
        <v>879</v>
      </c>
      <c r="C3102" t="s">
        <v>22</v>
      </c>
      <c r="D3102" t="s">
        <v>40</v>
      </c>
      <c r="E3102" t="s">
        <v>16</v>
      </c>
      <c r="F3102" t="s">
        <v>17</v>
      </c>
      <c r="G3102" t="str">
        <f>"10"</f>
        <v>10</v>
      </c>
      <c r="H3102" t="str">
        <f>"3  "</f>
        <v xml:space="preserve">3  </v>
      </c>
      <c r="I3102" t="str">
        <f>"2016/11/10"</f>
        <v>2016/11/10</v>
      </c>
      <c r="J3102" t="str">
        <f>"110"</f>
        <v>110</v>
      </c>
      <c r="K3102" t="str">
        <f>"20240206"</f>
        <v>20240206</v>
      </c>
      <c r="L3102" t="s">
        <v>18</v>
      </c>
      <c r="M3102" t="str">
        <f>"20160610"</f>
        <v>20160610</v>
      </c>
    </row>
    <row r="3103" spans="1:13" x14ac:dyDescent="0.25">
      <c r="A3103" t="str">
        <f>"00207435"</f>
        <v>00207435</v>
      </c>
      <c r="B3103" t="s">
        <v>892</v>
      </c>
      <c r="C3103" t="s">
        <v>96</v>
      </c>
      <c r="D3103" t="s">
        <v>15</v>
      </c>
      <c r="E3103" t="s">
        <v>26</v>
      </c>
      <c r="F3103" t="s">
        <v>17</v>
      </c>
      <c r="G3103" t="str">
        <f>"10"</f>
        <v>10</v>
      </c>
      <c r="H3103" t="str">
        <f>"0  "</f>
        <v xml:space="preserve">0  </v>
      </c>
      <c r="I3103" t="str">
        <f>"2020/05/29"</f>
        <v>2020/05/29</v>
      </c>
      <c r="J3103" t="str">
        <f>"420"</f>
        <v>420</v>
      </c>
      <c r="K3103" t="s">
        <v>18</v>
      </c>
      <c r="L3103" t="s">
        <v>18</v>
      </c>
      <c r="M3103" t="s">
        <v>18</v>
      </c>
    </row>
    <row r="3104" spans="1:13" x14ac:dyDescent="0.25">
      <c r="A3104" t="str">
        <f>"00295002"</f>
        <v>00295002</v>
      </c>
      <c r="B3104" t="s">
        <v>895</v>
      </c>
      <c r="C3104" t="s">
        <v>346</v>
      </c>
      <c r="D3104" t="s">
        <v>15</v>
      </c>
      <c r="E3104" t="s">
        <v>16</v>
      </c>
      <c r="F3104" t="s">
        <v>17</v>
      </c>
      <c r="G3104" t="str">
        <f>"10"</f>
        <v>10</v>
      </c>
      <c r="H3104" t="str">
        <f>"3  "</f>
        <v xml:space="preserve">3  </v>
      </c>
      <c r="I3104" t="str">
        <f>"2017/10/27"</f>
        <v>2017/10/27</v>
      </c>
      <c r="J3104" t="str">
        <f>"120"</f>
        <v>120</v>
      </c>
      <c r="K3104" t="str">
        <f>"20250629"</f>
        <v>20250629</v>
      </c>
      <c r="L3104" t="s">
        <v>18</v>
      </c>
      <c r="M3104" t="str">
        <f>"20170926"</f>
        <v>20170926</v>
      </c>
    </row>
    <row r="3105" spans="1:13" x14ac:dyDescent="0.25">
      <c r="A3105" t="str">
        <f>"00560659"</f>
        <v>00560659</v>
      </c>
      <c r="B3105" t="s">
        <v>903</v>
      </c>
      <c r="C3105" t="s">
        <v>904</v>
      </c>
      <c r="D3105" t="s">
        <v>21</v>
      </c>
      <c r="E3105" t="s">
        <v>26</v>
      </c>
      <c r="F3105" t="s">
        <v>17</v>
      </c>
      <c r="G3105" t="str">
        <f>"10"</f>
        <v>10</v>
      </c>
      <c r="H3105" t="str">
        <f>"3  "</f>
        <v xml:space="preserve">3  </v>
      </c>
      <c r="I3105" t="str">
        <f>"2018/10/06"</f>
        <v>2018/10/06</v>
      </c>
      <c r="J3105" t="str">
        <f>"110"</f>
        <v>110</v>
      </c>
      <c r="K3105" t="str">
        <f>"20211013"</f>
        <v>20211013</v>
      </c>
      <c r="L3105" t="s">
        <v>18</v>
      </c>
      <c r="M3105" t="str">
        <f>"20180420"</f>
        <v>20180420</v>
      </c>
    </row>
    <row r="3106" spans="1:13" x14ac:dyDescent="0.25">
      <c r="A3106" t="str">
        <f>"00478195"</f>
        <v>00478195</v>
      </c>
      <c r="B3106" t="s">
        <v>903</v>
      </c>
      <c r="C3106" t="s">
        <v>639</v>
      </c>
      <c r="D3106" t="s">
        <v>97</v>
      </c>
      <c r="E3106" t="s">
        <v>26</v>
      </c>
      <c r="F3106" t="s">
        <v>17</v>
      </c>
      <c r="G3106" t="str">
        <f>"10"</f>
        <v>10</v>
      </c>
      <c r="H3106" t="str">
        <f>"1  "</f>
        <v xml:space="preserve">1  </v>
      </c>
      <c r="I3106" t="str">
        <f>"2020/01/17"</f>
        <v>2020/01/17</v>
      </c>
      <c r="J3106" t="str">
        <f>"110"</f>
        <v>110</v>
      </c>
      <c r="K3106" t="str">
        <f>"20201110"</f>
        <v>20201110</v>
      </c>
      <c r="L3106" t="s">
        <v>18</v>
      </c>
      <c r="M3106" t="str">
        <f>"20200106"</f>
        <v>20200106</v>
      </c>
    </row>
    <row r="3107" spans="1:13" x14ac:dyDescent="0.25">
      <c r="A3107" t="str">
        <f>"00583100"</f>
        <v>00583100</v>
      </c>
      <c r="B3107" t="s">
        <v>905</v>
      </c>
      <c r="C3107" t="s">
        <v>906</v>
      </c>
      <c r="D3107" t="s">
        <v>40</v>
      </c>
      <c r="E3107" t="s">
        <v>16</v>
      </c>
      <c r="F3107" t="s">
        <v>17</v>
      </c>
      <c r="G3107" t="str">
        <f>"10"</f>
        <v>10</v>
      </c>
      <c r="H3107" t="str">
        <f>"3  "</f>
        <v xml:space="preserve">3  </v>
      </c>
      <c r="I3107" t="str">
        <f>"2019/07/26"</f>
        <v>2019/07/26</v>
      </c>
      <c r="J3107" t="str">
        <f>"503"</f>
        <v>503</v>
      </c>
      <c r="K3107" t="str">
        <f>"20210607"</f>
        <v>20210607</v>
      </c>
      <c r="L3107" t="s">
        <v>18</v>
      </c>
      <c r="M3107" t="str">
        <f>"20190626"</f>
        <v>20190626</v>
      </c>
    </row>
    <row r="3108" spans="1:13" x14ac:dyDescent="0.25">
      <c r="A3108" t="str">
        <f>"00920254"</f>
        <v>00920254</v>
      </c>
      <c r="B3108" t="s">
        <v>916</v>
      </c>
      <c r="C3108" t="s">
        <v>449</v>
      </c>
      <c r="D3108" t="s">
        <v>25</v>
      </c>
      <c r="E3108" t="s">
        <v>26</v>
      </c>
      <c r="F3108" t="s">
        <v>17</v>
      </c>
      <c r="G3108" t="str">
        <f>"10"</f>
        <v>10</v>
      </c>
      <c r="H3108" t="str">
        <f>"0  "</f>
        <v xml:space="preserve">0  </v>
      </c>
      <c r="I3108" t="str">
        <f>"2020/01/23"</f>
        <v>2020/01/23</v>
      </c>
      <c r="J3108" t="str">
        <f>"420"</f>
        <v>420</v>
      </c>
      <c r="K3108" t="s">
        <v>18</v>
      </c>
      <c r="L3108" t="s">
        <v>18</v>
      </c>
      <c r="M3108" t="s">
        <v>18</v>
      </c>
    </row>
    <row r="3109" spans="1:13" x14ac:dyDescent="0.25">
      <c r="A3109" t="str">
        <f>"00576787"</f>
        <v>00576787</v>
      </c>
      <c r="B3109" t="s">
        <v>921</v>
      </c>
      <c r="C3109" t="s">
        <v>922</v>
      </c>
      <c r="D3109" t="s">
        <v>61</v>
      </c>
      <c r="E3109" t="s">
        <v>26</v>
      </c>
      <c r="F3109" t="s">
        <v>17</v>
      </c>
      <c r="G3109" t="str">
        <f>"10"</f>
        <v>10</v>
      </c>
      <c r="H3109" t="str">
        <f>"0  "</f>
        <v xml:space="preserve">0  </v>
      </c>
      <c r="I3109" t="str">
        <f>"2020/08/26"</f>
        <v>2020/08/26</v>
      </c>
      <c r="J3109" t="str">
        <f>"420"</f>
        <v>420</v>
      </c>
      <c r="K3109" t="s">
        <v>18</v>
      </c>
      <c r="L3109" t="s">
        <v>18</v>
      </c>
      <c r="M3109" t="s">
        <v>18</v>
      </c>
    </row>
    <row r="3110" spans="1:13" x14ac:dyDescent="0.25">
      <c r="A3110" t="str">
        <f>"00877104"</f>
        <v>00877104</v>
      </c>
      <c r="B3110" t="s">
        <v>923</v>
      </c>
      <c r="C3110" t="s">
        <v>924</v>
      </c>
      <c r="D3110" t="s">
        <v>25</v>
      </c>
      <c r="E3110" t="s">
        <v>26</v>
      </c>
      <c r="F3110" t="s">
        <v>17</v>
      </c>
      <c r="G3110" t="str">
        <f>"10"</f>
        <v>10</v>
      </c>
      <c r="H3110" t="str">
        <f>"0  "</f>
        <v xml:space="preserve">0  </v>
      </c>
      <c r="I3110" t="str">
        <f>"2019/11/05"</f>
        <v>2019/11/05</v>
      </c>
      <c r="J3110" t="str">
        <f>"420"</f>
        <v>420</v>
      </c>
      <c r="K3110" t="s">
        <v>18</v>
      </c>
      <c r="L3110" t="s">
        <v>18</v>
      </c>
      <c r="M3110" t="s">
        <v>18</v>
      </c>
    </row>
    <row r="3111" spans="1:13" x14ac:dyDescent="0.25">
      <c r="A3111" t="str">
        <f>"00378960"</f>
        <v>00378960</v>
      </c>
      <c r="B3111" t="s">
        <v>928</v>
      </c>
      <c r="C3111" t="s">
        <v>929</v>
      </c>
      <c r="D3111" t="s">
        <v>142</v>
      </c>
      <c r="E3111" t="s">
        <v>26</v>
      </c>
      <c r="F3111" t="s">
        <v>17</v>
      </c>
      <c r="G3111" t="str">
        <f>"10"</f>
        <v>10</v>
      </c>
      <c r="H3111" t="str">
        <f>"3  "</f>
        <v xml:space="preserve">3  </v>
      </c>
      <c r="I3111" t="str">
        <f>"2020/08/08"</f>
        <v>2020/08/08</v>
      </c>
      <c r="J3111" t="str">
        <f>"120"</f>
        <v>120</v>
      </c>
      <c r="K3111" t="str">
        <f>"20300816"</f>
        <v>20300816</v>
      </c>
      <c r="L3111" t="s">
        <v>18</v>
      </c>
      <c r="M3111" t="str">
        <f>"20200727"</f>
        <v>20200727</v>
      </c>
    </row>
    <row r="3112" spans="1:13" x14ac:dyDescent="0.25">
      <c r="A3112" t="str">
        <f>"00801388"</f>
        <v>00801388</v>
      </c>
      <c r="B3112" t="s">
        <v>935</v>
      </c>
      <c r="C3112" t="s">
        <v>14</v>
      </c>
      <c r="D3112" t="s">
        <v>25</v>
      </c>
      <c r="E3112" t="s">
        <v>26</v>
      </c>
      <c r="F3112" t="s">
        <v>17</v>
      </c>
      <c r="G3112" t="str">
        <f>"10"</f>
        <v>10</v>
      </c>
      <c r="H3112" t="str">
        <f>"0  "</f>
        <v xml:space="preserve">0  </v>
      </c>
      <c r="I3112" t="str">
        <f>"2020/07/08"</f>
        <v>2020/07/08</v>
      </c>
      <c r="J3112" t="str">
        <f>"420"</f>
        <v>420</v>
      </c>
      <c r="K3112" t="s">
        <v>18</v>
      </c>
      <c r="L3112" t="s">
        <v>18</v>
      </c>
      <c r="M3112" t="s">
        <v>18</v>
      </c>
    </row>
    <row r="3113" spans="1:13" x14ac:dyDescent="0.25">
      <c r="A3113" t="str">
        <f>"00174002"</f>
        <v>00174002</v>
      </c>
      <c r="B3113" t="s">
        <v>935</v>
      </c>
      <c r="C3113" t="s">
        <v>936</v>
      </c>
      <c r="D3113" t="s">
        <v>73</v>
      </c>
      <c r="E3113" t="s">
        <v>26</v>
      </c>
      <c r="F3113" t="s">
        <v>17</v>
      </c>
      <c r="G3113" t="str">
        <f>"10"</f>
        <v>10</v>
      </c>
      <c r="H3113" t="str">
        <f>"3  "</f>
        <v xml:space="preserve">3  </v>
      </c>
      <c r="I3113" t="str">
        <f>"2019/07/08"</f>
        <v>2019/07/08</v>
      </c>
      <c r="J3113" t="str">
        <f>"503"</f>
        <v>503</v>
      </c>
      <c r="K3113" t="str">
        <f>"20210321"</f>
        <v>20210321</v>
      </c>
      <c r="L3113" t="s">
        <v>18</v>
      </c>
      <c r="M3113" t="str">
        <f>"20080907"</f>
        <v>20080907</v>
      </c>
    </row>
    <row r="3114" spans="1:13" x14ac:dyDescent="0.25">
      <c r="A3114" t="str">
        <f>"00304201"</f>
        <v>00304201</v>
      </c>
      <c r="B3114" t="s">
        <v>935</v>
      </c>
      <c r="C3114" t="s">
        <v>940</v>
      </c>
      <c r="D3114" t="s">
        <v>16</v>
      </c>
      <c r="E3114" t="s">
        <v>26</v>
      </c>
      <c r="F3114" t="s">
        <v>17</v>
      </c>
      <c r="G3114" t="str">
        <f>"10"</f>
        <v>10</v>
      </c>
      <c r="H3114" t="str">
        <f>"0  "</f>
        <v xml:space="preserve">0  </v>
      </c>
      <c r="I3114" t="str">
        <f>"2020/02/20"</f>
        <v>2020/02/20</v>
      </c>
      <c r="J3114" t="str">
        <f>"420"</f>
        <v>420</v>
      </c>
      <c r="K3114" t="s">
        <v>18</v>
      </c>
      <c r="L3114" t="s">
        <v>18</v>
      </c>
      <c r="M3114" t="s">
        <v>18</v>
      </c>
    </row>
    <row r="3115" spans="1:13" x14ac:dyDescent="0.25">
      <c r="A3115" t="str">
        <f>"00506007"</f>
        <v>00506007</v>
      </c>
      <c r="B3115" t="s">
        <v>951</v>
      </c>
      <c r="C3115" t="s">
        <v>233</v>
      </c>
      <c r="D3115" t="s">
        <v>25</v>
      </c>
      <c r="E3115" t="s">
        <v>26</v>
      </c>
      <c r="F3115" t="s">
        <v>17</v>
      </c>
      <c r="G3115" t="str">
        <f>"10"</f>
        <v>10</v>
      </c>
      <c r="H3115" t="str">
        <f>"3  "</f>
        <v xml:space="preserve">3  </v>
      </c>
      <c r="I3115" t="str">
        <f>"2015/04/29"</f>
        <v>2015/04/29</v>
      </c>
      <c r="J3115" t="str">
        <f>"110"</f>
        <v>110</v>
      </c>
      <c r="K3115" t="str">
        <f>"20211111"</f>
        <v>20211111</v>
      </c>
      <c r="L3115" t="s">
        <v>18</v>
      </c>
      <c r="M3115" t="str">
        <f>"20140612"</f>
        <v>20140612</v>
      </c>
    </row>
    <row r="3116" spans="1:13" x14ac:dyDescent="0.25">
      <c r="A3116" t="str">
        <f>"00607463"</f>
        <v>00607463</v>
      </c>
      <c r="B3116" t="s">
        <v>953</v>
      </c>
      <c r="C3116" t="s">
        <v>261</v>
      </c>
      <c r="D3116" t="s">
        <v>51</v>
      </c>
      <c r="E3116" t="s">
        <v>26</v>
      </c>
      <c r="F3116" t="s">
        <v>17</v>
      </c>
      <c r="G3116" t="str">
        <f>"10"</f>
        <v>10</v>
      </c>
      <c r="H3116" t="str">
        <f>"3  "</f>
        <v xml:space="preserve">3  </v>
      </c>
      <c r="I3116" t="str">
        <f>"2020/02/15"</f>
        <v>2020/02/15</v>
      </c>
      <c r="J3116" t="str">
        <f>"110"</f>
        <v>110</v>
      </c>
      <c r="K3116" t="str">
        <f>"20220527"</f>
        <v>20220527</v>
      </c>
      <c r="L3116" t="s">
        <v>18</v>
      </c>
      <c r="M3116" t="str">
        <f>"20181102"</f>
        <v>20181102</v>
      </c>
    </row>
    <row r="3117" spans="1:13" x14ac:dyDescent="0.25">
      <c r="A3117" t="str">
        <f>"00166755"</f>
        <v>00166755</v>
      </c>
      <c r="B3117" t="s">
        <v>954</v>
      </c>
      <c r="C3117" t="s">
        <v>754</v>
      </c>
      <c r="D3117" t="s">
        <v>182</v>
      </c>
      <c r="E3117" t="s">
        <v>26</v>
      </c>
      <c r="F3117" t="s">
        <v>17</v>
      </c>
      <c r="G3117" t="str">
        <f>"10"</f>
        <v>10</v>
      </c>
      <c r="H3117" t="str">
        <f>"0  "</f>
        <v xml:space="preserve">0  </v>
      </c>
      <c r="I3117" t="str">
        <f>"2019/11/23"</f>
        <v>2019/11/23</v>
      </c>
      <c r="J3117" t="str">
        <f>"420"</f>
        <v>420</v>
      </c>
      <c r="K3117" t="s">
        <v>18</v>
      </c>
      <c r="L3117" t="s">
        <v>18</v>
      </c>
      <c r="M3117" t="s">
        <v>18</v>
      </c>
    </row>
    <row r="3118" spans="1:13" x14ac:dyDescent="0.25">
      <c r="A3118" t="str">
        <f>"00258392"</f>
        <v>00258392</v>
      </c>
      <c r="B3118" t="s">
        <v>955</v>
      </c>
      <c r="C3118" t="s">
        <v>136</v>
      </c>
      <c r="D3118" t="s">
        <v>25</v>
      </c>
      <c r="E3118" t="s">
        <v>16</v>
      </c>
      <c r="F3118" t="s">
        <v>17</v>
      </c>
      <c r="G3118" t="str">
        <f>"10"</f>
        <v>10</v>
      </c>
      <c r="H3118" t="str">
        <f>"0  "</f>
        <v xml:space="preserve">0  </v>
      </c>
      <c r="I3118" t="str">
        <f>"2020/08/08"</f>
        <v>2020/08/08</v>
      </c>
      <c r="J3118" t="str">
        <f>"512"</f>
        <v>512</v>
      </c>
      <c r="K3118" t="s">
        <v>18</v>
      </c>
      <c r="L3118" t="s">
        <v>18</v>
      </c>
      <c r="M3118" t="s">
        <v>18</v>
      </c>
    </row>
    <row r="3119" spans="1:13" x14ac:dyDescent="0.25">
      <c r="A3119" t="str">
        <f>"00324429"</f>
        <v>00324429</v>
      </c>
      <c r="B3119" t="s">
        <v>967</v>
      </c>
      <c r="C3119" t="s">
        <v>118</v>
      </c>
      <c r="D3119" t="s">
        <v>80</v>
      </c>
      <c r="E3119" t="s">
        <v>26</v>
      </c>
      <c r="F3119" t="s">
        <v>17</v>
      </c>
      <c r="G3119" t="str">
        <f>"10"</f>
        <v>10</v>
      </c>
      <c r="H3119" t="str">
        <f>"3  "</f>
        <v xml:space="preserve">3  </v>
      </c>
      <c r="I3119" t="str">
        <f>"2015/01/20"</f>
        <v>2015/01/20</v>
      </c>
      <c r="J3119" t="str">
        <f>"120"</f>
        <v>120</v>
      </c>
      <c r="K3119" t="str">
        <f>"20220217"</f>
        <v>20220217</v>
      </c>
      <c r="L3119" t="s">
        <v>18</v>
      </c>
      <c r="M3119" t="str">
        <f>"20141104"</f>
        <v>20141104</v>
      </c>
    </row>
    <row r="3120" spans="1:13" x14ac:dyDescent="0.25">
      <c r="A3120" t="str">
        <f>"00556432"</f>
        <v>00556432</v>
      </c>
      <c r="B3120" t="s">
        <v>968</v>
      </c>
      <c r="C3120" t="s">
        <v>969</v>
      </c>
      <c r="D3120" t="s">
        <v>97</v>
      </c>
      <c r="E3120" t="s">
        <v>26</v>
      </c>
      <c r="F3120" t="s">
        <v>17</v>
      </c>
      <c r="G3120" t="str">
        <f>"10"</f>
        <v>10</v>
      </c>
      <c r="H3120" t="str">
        <f>"3  "</f>
        <v xml:space="preserve">3  </v>
      </c>
      <c r="I3120" t="str">
        <f>"2017/09/18"</f>
        <v>2017/09/18</v>
      </c>
      <c r="J3120" t="str">
        <f>"110"</f>
        <v>110</v>
      </c>
      <c r="K3120" t="str">
        <f>"20231226"</f>
        <v>20231226</v>
      </c>
      <c r="L3120" t="s">
        <v>18</v>
      </c>
      <c r="M3120" t="str">
        <f>"20170217"</f>
        <v>20170217</v>
      </c>
    </row>
    <row r="3121" spans="1:13" x14ac:dyDescent="0.25">
      <c r="A3121" t="str">
        <f>"00319362"</f>
        <v>00319362</v>
      </c>
      <c r="B3121" t="s">
        <v>971</v>
      </c>
      <c r="C3121" t="s">
        <v>972</v>
      </c>
      <c r="D3121" t="s">
        <v>31</v>
      </c>
      <c r="E3121" t="s">
        <v>26</v>
      </c>
      <c r="F3121" t="s">
        <v>17</v>
      </c>
      <c r="G3121" t="str">
        <f>"10"</f>
        <v>10</v>
      </c>
      <c r="H3121" t="str">
        <f>"3  "</f>
        <v xml:space="preserve">3  </v>
      </c>
      <c r="I3121" t="str">
        <f>"2018/01/17"</f>
        <v>2018/01/17</v>
      </c>
      <c r="J3121" t="str">
        <f>"110"</f>
        <v>110</v>
      </c>
      <c r="K3121" t="str">
        <f>"20211030"</f>
        <v>20211030</v>
      </c>
      <c r="L3121" t="s">
        <v>18</v>
      </c>
      <c r="M3121" t="str">
        <f>"20170621"</f>
        <v>20170621</v>
      </c>
    </row>
    <row r="3122" spans="1:13" x14ac:dyDescent="0.25">
      <c r="A3122" t="str">
        <f>"00434475"</f>
        <v>00434475</v>
      </c>
      <c r="B3122" t="s">
        <v>971</v>
      </c>
      <c r="C3122" t="s">
        <v>639</v>
      </c>
      <c r="D3122" t="s">
        <v>51</v>
      </c>
      <c r="E3122" t="s">
        <v>26</v>
      </c>
      <c r="F3122" t="s">
        <v>17</v>
      </c>
      <c r="G3122" t="str">
        <f>"10"</f>
        <v>10</v>
      </c>
      <c r="H3122" t="str">
        <f>"0  "</f>
        <v xml:space="preserve">0  </v>
      </c>
      <c r="I3122" t="str">
        <f>"2020/07/23"</f>
        <v>2020/07/23</v>
      </c>
      <c r="J3122" t="str">
        <f>"420"</f>
        <v>420</v>
      </c>
      <c r="K3122" t="s">
        <v>18</v>
      </c>
      <c r="L3122" t="s">
        <v>18</v>
      </c>
      <c r="M3122" t="s">
        <v>18</v>
      </c>
    </row>
    <row r="3123" spans="1:13" x14ac:dyDescent="0.25">
      <c r="A3123" t="str">
        <f>"00188939"</f>
        <v>00188939</v>
      </c>
      <c r="B3123" t="s">
        <v>971</v>
      </c>
      <c r="C3123" t="s">
        <v>974</v>
      </c>
      <c r="D3123" t="s">
        <v>51</v>
      </c>
      <c r="E3123" t="s">
        <v>26</v>
      </c>
      <c r="F3123" t="s">
        <v>17</v>
      </c>
      <c r="G3123" t="str">
        <f>"10"</f>
        <v>10</v>
      </c>
      <c r="H3123" t="str">
        <f>"0  "</f>
        <v xml:space="preserve">0  </v>
      </c>
      <c r="I3123" t="str">
        <f>"2020/04/03"</f>
        <v>2020/04/03</v>
      </c>
      <c r="J3123" t="str">
        <f>"420"</f>
        <v>420</v>
      </c>
      <c r="K3123" t="s">
        <v>18</v>
      </c>
      <c r="L3123" t="s">
        <v>18</v>
      </c>
      <c r="M3123" t="s">
        <v>18</v>
      </c>
    </row>
    <row r="3124" spans="1:13" x14ac:dyDescent="0.25">
      <c r="A3124" t="str">
        <f>"00626977"</f>
        <v>00626977</v>
      </c>
      <c r="B3124" t="s">
        <v>979</v>
      </c>
      <c r="C3124" t="s">
        <v>981</v>
      </c>
      <c r="D3124" t="s">
        <v>25</v>
      </c>
      <c r="E3124" t="s">
        <v>26</v>
      </c>
      <c r="F3124" t="s">
        <v>17</v>
      </c>
      <c r="G3124" t="str">
        <f>"10"</f>
        <v>10</v>
      </c>
      <c r="H3124" t="str">
        <f>"0  "</f>
        <v xml:space="preserve">0  </v>
      </c>
      <c r="I3124" t="str">
        <f>"2020/07/08"</f>
        <v>2020/07/08</v>
      </c>
      <c r="J3124" t="str">
        <f>"512"</f>
        <v>512</v>
      </c>
      <c r="K3124" t="s">
        <v>18</v>
      </c>
      <c r="L3124" t="s">
        <v>18</v>
      </c>
      <c r="M3124" t="s">
        <v>18</v>
      </c>
    </row>
    <row r="3125" spans="1:13" x14ac:dyDescent="0.25">
      <c r="A3125" t="str">
        <f>"00361166"</f>
        <v>00361166</v>
      </c>
      <c r="B3125" t="s">
        <v>984</v>
      </c>
      <c r="C3125" t="s">
        <v>302</v>
      </c>
      <c r="D3125" t="s">
        <v>40</v>
      </c>
      <c r="E3125" t="s">
        <v>16</v>
      </c>
      <c r="F3125" t="s">
        <v>17</v>
      </c>
      <c r="G3125" t="str">
        <f>"10"</f>
        <v>10</v>
      </c>
      <c r="H3125" t="str">
        <f>"0  "</f>
        <v xml:space="preserve">0  </v>
      </c>
      <c r="I3125" t="str">
        <f>"2020/09/02"</f>
        <v>2020/09/02</v>
      </c>
      <c r="J3125" t="str">
        <f>"420"</f>
        <v>420</v>
      </c>
      <c r="K3125" t="s">
        <v>18</v>
      </c>
      <c r="L3125" t="s">
        <v>18</v>
      </c>
      <c r="M3125" t="s">
        <v>18</v>
      </c>
    </row>
    <row r="3126" spans="1:13" x14ac:dyDescent="0.25">
      <c r="A3126" t="str">
        <f>"00466425"</f>
        <v>00466425</v>
      </c>
      <c r="B3126" t="s">
        <v>984</v>
      </c>
      <c r="C3126" t="s">
        <v>74</v>
      </c>
      <c r="D3126" t="s">
        <v>15</v>
      </c>
      <c r="E3126" t="s">
        <v>26</v>
      </c>
      <c r="F3126" t="s">
        <v>17</v>
      </c>
      <c r="G3126" t="str">
        <f>"10"</f>
        <v>10</v>
      </c>
      <c r="H3126" t="str">
        <f>"1  "</f>
        <v xml:space="preserve">1  </v>
      </c>
      <c r="I3126" t="str">
        <f>"2020/09/11"</f>
        <v>2020/09/11</v>
      </c>
      <c r="J3126" t="str">
        <f>"110"</f>
        <v>110</v>
      </c>
      <c r="K3126" t="str">
        <f>"20210620"</f>
        <v>20210620</v>
      </c>
      <c r="L3126" t="s">
        <v>18</v>
      </c>
      <c r="M3126" t="str">
        <f>"20200911"</f>
        <v>20200911</v>
      </c>
    </row>
    <row r="3127" spans="1:13" x14ac:dyDescent="0.25">
      <c r="A3127" t="str">
        <f>"00810949"</f>
        <v>00810949</v>
      </c>
      <c r="B3127" t="s">
        <v>986</v>
      </c>
      <c r="C3127" t="s">
        <v>988</v>
      </c>
      <c r="D3127" t="s">
        <v>61</v>
      </c>
      <c r="E3127" t="s">
        <v>26</v>
      </c>
      <c r="F3127" t="s">
        <v>17</v>
      </c>
      <c r="G3127" t="str">
        <f>"10"</f>
        <v>10</v>
      </c>
      <c r="H3127" t="str">
        <f>"3  "</f>
        <v xml:space="preserve">3  </v>
      </c>
      <c r="I3127" t="str">
        <f>"2020/07/11"</f>
        <v>2020/07/11</v>
      </c>
      <c r="J3127" t="str">
        <f>"110"</f>
        <v>110</v>
      </c>
      <c r="K3127" t="str">
        <f>"20241113"</f>
        <v>20241113</v>
      </c>
      <c r="L3127" t="s">
        <v>18</v>
      </c>
      <c r="M3127" t="str">
        <f>"20190607"</f>
        <v>20190607</v>
      </c>
    </row>
    <row r="3128" spans="1:13" x14ac:dyDescent="0.25">
      <c r="A3128" t="str">
        <f>"00410967"</f>
        <v>00410967</v>
      </c>
      <c r="B3128" t="s">
        <v>986</v>
      </c>
      <c r="C3128" t="s">
        <v>990</v>
      </c>
      <c r="D3128" t="s">
        <v>21</v>
      </c>
      <c r="E3128" t="s">
        <v>26</v>
      </c>
      <c r="F3128" t="s">
        <v>17</v>
      </c>
      <c r="G3128" t="str">
        <f>"10"</f>
        <v>10</v>
      </c>
      <c r="H3128" t="str">
        <f>"1  "</f>
        <v xml:space="preserve">1  </v>
      </c>
      <c r="I3128" t="str">
        <f>"2020/08/21"</f>
        <v>2020/08/21</v>
      </c>
      <c r="J3128" t="str">
        <f>"110"</f>
        <v>110</v>
      </c>
      <c r="K3128" t="str">
        <f>"20210717"</f>
        <v>20210717</v>
      </c>
      <c r="L3128" t="s">
        <v>18</v>
      </c>
      <c r="M3128" t="str">
        <f>"20200815"</f>
        <v>20200815</v>
      </c>
    </row>
    <row r="3129" spans="1:13" x14ac:dyDescent="0.25">
      <c r="A3129" t="str">
        <f>"00610187"</f>
        <v>00610187</v>
      </c>
      <c r="B3129" t="s">
        <v>986</v>
      </c>
      <c r="C3129" t="s">
        <v>992</v>
      </c>
      <c r="D3129" t="s">
        <v>53</v>
      </c>
      <c r="E3129" t="s">
        <v>26</v>
      </c>
      <c r="F3129" t="s">
        <v>17</v>
      </c>
      <c r="G3129" t="str">
        <f>"10"</f>
        <v>10</v>
      </c>
      <c r="H3129" t="str">
        <f>"3  "</f>
        <v xml:space="preserve">3  </v>
      </c>
      <c r="I3129" t="str">
        <f>"2017/06/26"</f>
        <v>2017/06/26</v>
      </c>
      <c r="J3129" t="str">
        <f>"110"</f>
        <v>110</v>
      </c>
      <c r="K3129" t="str">
        <f>"20211211"</f>
        <v>20211211</v>
      </c>
      <c r="L3129" t="s">
        <v>18</v>
      </c>
      <c r="M3129" t="str">
        <f>"20170210"</f>
        <v>20170210</v>
      </c>
    </row>
    <row r="3130" spans="1:13" x14ac:dyDescent="0.25">
      <c r="A3130" t="str">
        <f>"00671471"</f>
        <v>00671471</v>
      </c>
      <c r="B3130" t="s">
        <v>993</v>
      </c>
      <c r="C3130" t="s">
        <v>211</v>
      </c>
      <c r="D3130" t="s">
        <v>15</v>
      </c>
      <c r="E3130" t="s">
        <v>16</v>
      </c>
      <c r="F3130" t="s">
        <v>17</v>
      </c>
      <c r="G3130" t="str">
        <f>"10"</f>
        <v>10</v>
      </c>
      <c r="H3130" t="str">
        <f>"1  "</f>
        <v xml:space="preserve">1  </v>
      </c>
      <c r="I3130" t="str">
        <f>"2020/09/02"</f>
        <v>2020/09/02</v>
      </c>
      <c r="J3130" t="str">
        <f>"110"</f>
        <v>110</v>
      </c>
      <c r="K3130" t="str">
        <f>"20200928"</f>
        <v>20200928</v>
      </c>
      <c r="L3130" t="s">
        <v>18</v>
      </c>
      <c r="M3130" t="str">
        <f>"20200902"</f>
        <v>20200902</v>
      </c>
    </row>
    <row r="3131" spans="1:13" x14ac:dyDescent="0.25">
      <c r="A3131" t="str">
        <f>"00429362"</f>
        <v>00429362</v>
      </c>
      <c r="B3131" t="s">
        <v>996</v>
      </c>
      <c r="C3131" t="s">
        <v>358</v>
      </c>
      <c r="D3131" t="s">
        <v>61</v>
      </c>
      <c r="E3131" t="s">
        <v>26</v>
      </c>
      <c r="F3131" t="s">
        <v>17</v>
      </c>
      <c r="G3131" t="str">
        <f>"10"</f>
        <v>10</v>
      </c>
      <c r="H3131" t="str">
        <f>"0  "</f>
        <v xml:space="preserve">0  </v>
      </c>
      <c r="I3131" t="str">
        <f>"2018/09/26"</f>
        <v>2018/09/26</v>
      </c>
      <c r="J3131" t="str">
        <f>"420"</f>
        <v>420</v>
      </c>
      <c r="K3131" t="s">
        <v>18</v>
      </c>
      <c r="L3131" t="s">
        <v>18</v>
      </c>
      <c r="M3131" t="s">
        <v>18</v>
      </c>
    </row>
    <row r="3132" spans="1:13" x14ac:dyDescent="0.25">
      <c r="A3132" t="str">
        <f>"00722776"</f>
        <v>00722776</v>
      </c>
      <c r="B3132" t="s">
        <v>1002</v>
      </c>
      <c r="C3132" t="s">
        <v>1004</v>
      </c>
      <c r="D3132" t="s">
        <v>61</v>
      </c>
      <c r="E3132" t="s">
        <v>26</v>
      </c>
      <c r="F3132" t="s">
        <v>17</v>
      </c>
      <c r="G3132" t="str">
        <f>"10"</f>
        <v>10</v>
      </c>
      <c r="H3132" t="str">
        <f>"3  "</f>
        <v xml:space="preserve">3  </v>
      </c>
      <c r="I3132" t="str">
        <f>"2020/02/10"</f>
        <v>2020/02/10</v>
      </c>
      <c r="J3132" t="str">
        <f>"120"</f>
        <v>120</v>
      </c>
      <c r="K3132" t="str">
        <f>"20210407"</f>
        <v>20210407</v>
      </c>
      <c r="L3132" t="s">
        <v>18</v>
      </c>
      <c r="M3132" t="str">
        <f>"20190822"</f>
        <v>20190822</v>
      </c>
    </row>
    <row r="3133" spans="1:13" x14ac:dyDescent="0.25">
      <c r="A3133" t="str">
        <f>"00480003"</f>
        <v>00480003</v>
      </c>
      <c r="B3133" t="s">
        <v>1006</v>
      </c>
      <c r="C3133" t="s">
        <v>1007</v>
      </c>
      <c r="D3133" t="s">
        <v>16</v>
      </c>
      <c r="E3133" t="s">
        <v>26</v>
      </c>
      <c r="F3133" t="s">
        <v>17</v>
      </c>
      <c r="G3133" t="str">
        <f>"10"</f>
        <v>10</v>
      </c>
      <c r="H3133" t="str">
        <f>"0  "</f>
        <v xml:space="preserve">0  </v>
      </c>
      <c r="I3133" t="str">
        <f>"2019/11/21"</f>
        <v>2019/11/21</v>
      </c>
      <c r="J3133" t="str">
        <f>"420"</f>
        <v>420</v>
      </c>
      <c r="K3133" t="s">
        <v>18</v>
      </c>
      <c r="L3133" t="s">
        <v>18</v>
      </c>
      <c r="M3133" t="s">
        <v>18</v>
      </c>
    </row>
    <row r="3134" spans="1:13" x14ac:dyDescent="0.25">
      <c r="A3134" t="str">
        <f>"00205686"</f>
        <v>00205686</v>
      </c>
      <c r="B3134" t="s">
        <v>1011</v>
      </c>
      <c r="C3134" t="s">
        <v>785</v>
      </c>
      <c r="D3134" t="s">
        <v>51</v>
      </c>
      <c r="E3134" t="s">
        <v>26</v>
      </c>
      <c r="F3134" t="s">
        <v>17</v>
      </c>
      <c r="G3134" t="str">
        <f>"10"</f>
        <v>10</v>
      </c>
      <c r="H3134" t="str">
        <f>"3  "</f>
        <v xml:space="preserve">3  </v>
      </c>
      <c r="I3134" t="str">
        <f>"2018/10/08"</f>
        <v>2018/10/08</v>
      </c>
      <c r="J3134" t="str">
        <f>"110"</f>
        <v>110</v>
      </c>
      <c r="K3134" t="str">
        <f>"20211217"</f>
        <v>20211217</v>
      </c>
      <c r="L3134" t="s">
        <v>18</v>
      </c>
      <c r="M3134" t="str">
        <f>"20171005"</f>
        <v>20171005</v>
      </c>
    </row>
    <row r="3135" spans="1:13" x14ac:dyDescent="0.25">
      <c r="A3135" t="str">
        <f>"00676037"</f>
        <v>00676037</v>
      </c>
      <c r="B3135" t="s">
        <v>1012</v>
      </c>
      <c r="C3135" t="s">
        <v>72</v>
      </c>
      <c r="D3135" t="s">
        <v>25</v>
      </c>
      <c r="E3135" t="s">
        <v>26</v>
      </c>
      <c r="F3135" t="s">
        <v>17</v>
      </c>
      <c r="G3135" t="str">
        <f>"10"</f>
        <v>10</v>
      </c>
      <c r="H3135" t="str">
        <f>"0  "</f>
        <v xml:space="preserve">0  </v>
      </c>
      <c r="I3135" t="str">
        <f>"2020/06/27"</f>
        <v>2020/06/27</v>
      </c>
      <c r="J3135" t="str">
        <f>"420"</f>
        <v>420</v>
      </c>
      <c r="K3135" t="s">
        <v>18</v>
      </c>
      <c r="L3135" t="s">
        <v>18</v>
      </c>
      <c r="M3135" t="s">
        <v>18</v>
      </c>
    </row>
    <row r="3136" spans="1:13" x14ac:dyDescent="0.25">
      <c r="A3136" t="str">
        <f>"00909691"</f>
        <v>00909691</v>
      </c>
      <c r="B3136" t="s">
        <v>1015</v>
      </c>
      <c r="C3136" t="s">
        <v>118</v>
      </c>
      <c r="D3136" t="s">
        <v>40</v>
      </c>
      <c r="E3136" t="s">
        <v>16</v>
      </c>
      <c r="F3136" t="s">
        <v>17</v>
      </c>
      <c r="G3136" t="str">
        <f>"10"</f>
        <v>10</v>
      </c>
      <c r="H3136" t="str">
        <f>"0  "</f>
        <v xml:space="preserve">0  </v>
      </c>
      <c r="I3136" t="str">
        <f>"2020/09/15"</f>
        <v>2020/09/15</v>
      </c>
      <c r="J3136" t="str">
        <f>"420"</f>
        <v>420</v>
      </c>
      <c r="K3136" t="s">
        <v>18</v>
      </c>
      <c r="L3136" t="s">
        <v>18</v>
      </c>
      <c r="M3136" t="s">
        <v>18</v>
      </c>
    </row>
    <row r="3137" spans="1:13" x14ac:dyDescent="0.25">
      <c r="A3137" t="str">
        <f>"00777538"</f>
        <v>00777538</v>
      </c>
      <c r="B3137" t="s">
        <v>1015</v>
      </c>
      <c r="C3137" t="s">
        <v>258</v>
      </c>
      <c r="D3137" t="s">
        <v>53</v>
      </c>
      <c r="E3137" t="s">
        <v>26</v>
      </c>
      <c r="F3137" t="s">
        <v>17</v>
      </c>
      <c r="G3137" t="str">
        <f>"10"</f>
        <v>10</v>
      </c>
      <c r="H3137" t="str">
        <f>"1  "</f>
        <v xml:space="preserve">1  </v>
      </c>
      <c r="I3137" t="str">
        <f>"2020/08/04"</f>
        <v>2020/08/04</v>
      </c>
      <c r="J3137" t="str">
        <f>"110"</f>
        <v>110</v>
      </c>
      <c r="K3137" t="str">
        <f>"20201214"</f>
        <v>20201214</v>
      </c>
      <c r="L3137" t="s">
        <v>18</v>
      </c>
      <c r="M3137" t="str">
        <f>"20200627"</f>
        <v>20200627</v>
      </c>
    </row>
    <row r="3138" spans="1:13" x14ac:dyDescent="0.25">
      <c r="A3138" t="str">
        <f>"00361347"</f>
        <v>00361347</v>
      </c>
      <c r="B3138" t="s">
        <v>1015</v>
      </c>
      <c r="C3138" t="s">
        <v>122</v>
      </c>
      <c r="D3138" t="s">
        <v>31</v>
      </c>
      <c r="E3138" t="s">
        <v>16</v>
      </c>
      <c r="F3138" t="s">
        <v>17</v>
      </c>
      <c r="G3138" t="str">
        <f>"10"</f>
        <v>10</v>
      </c>
      <c r="H3138" t="str">
        <f>"3  "</f>
        <v xml:space="preserve">3  </v>
      </c>
      <c r="I3138" t="str">
        <f>"2020/06/16"</f>
        <v>2020/06/16</v>
      </c>
      <c r="J3138" t="str">
        <f>"110"</f>
        <v>110</v>
      </c>
      <c r="K3138" t="str">
        <f>"20210601"</f>
        <v>20210601</v>
      </c>
      <c r="L3138" t="s">
        <v>18</v>
      </c>
      <c r="M3138" t="str">
        <f>"20190811"</f>
        <v>20190811</v>
      </c>
    </row>
    <row r="3139" spans="1:13" x14ac:dyDescent="0.25">
      <c r="A3139" t="str">
        <f>"00254825"</f>
        <v>00254825</v>
      </c>
      <c r="B3139" t="s">
        <v>1015</v>
      </c>
      <c r="C3139" t="s">
        <v>408</v>
      </c>
      <c r="D3139" t="s">
        <v>25</v>
      </c>
      <c r="E3139" t="s">
        <v>26</v>
      </c>
      <c r="F3139" t="s">
        <v>17</v>
      </c>
      <c r="G3139" t="str">
        <f>"10"</f>
        <v>10</v>
      </c>
      <c r="H3139" t="str">
        <f>"3  "</f>
        <v xml:space="preserve">3  </v>
      </c>
      <c r="I3139" t="str">
        <f>"2020/03/05"</f>
        <v>2020/03/05</v>
      </c>
      <c r="J3139" t="str">
        <f>"120"</f>
        <v>120</v>
      </c>
      <c r="K3139" t="str">
        <f>"20210704"</f>
        <v>20210704</v>
      </c>
      <c r="L3139" t="s">
        <v>18</v>
      </c>
      <c r="M3139" t="str">
        <f>"20200216"</f>
        <v>20200216</v>
      </c>
    </row>
    <row r="3140" spans="1:13" x14ac:dyDescent="0.25">
      <c r="A3140" t="str">
        <f>"00463859"</f>
        <v>00463859</v>
      </c>
      <c r="B3140" t="s">
        <v>1020</v>
      </c>
      <c r="C3140" t="s">
        <v>148</v>
      </c>
      <c r="D3140" t="s">
        <v>25</v>
      </c>
      <c r="E3140" t="s">
        <v>26</v>
      </c>
      <c r="F3140" t="s">
        <v>17</v>
      </c>
      <c r="G3140" t="str">
        <f>"10"</f>
        <v>10</v>
      </c>
      <c r="H3140" t="str">
        <f>"1  "</f>
        <v xml:space="preserve">1  </v>
      </c>
      <c r="I3140" t="str">
        <f>"2020/08/04"</f>
        <v>2020/08/04</v>
      </c>
      <c r="J3140" t="str">
        <f>"120"</f>
        <v>120</v>
      </c>
      <c r="K3140" t="str">
        <f>"20201012"</f>
        <v>20201012</v>
      </c>
      <c r="L3140" t="s">
        <v>18</v>
      </c>
      <c r="M3140" t="str">
        <f>"20200721"</f>
        <v>20200721</v>
      </c>
    </row>
    <row r="3141" spans="1:13" x14ac:dyDescent="0.25">
      <c r="A3141" t="str">
        <f>"00161224"</f>
        <v>00161224</v>
      </c>
      <c r="B3141" t="s">
        <v>1020</v>
      </c>
      <c r="C3141" t="s">
        <v>524</v>
      </c>
      <c r="D3141" t="s">
        <v>51</v>
      </c>
      <c r="E3141" t="s">
        <v>26</v>
      </c>
      <c r="F3141" t="s">
        <v>17</v>
      </c>
      <c r="G3141" t="str">
        <f>"10"</f>
        <v>10</v>
      </c>
      <c r="H3141" t="str">
        <f>"1  "</f>
        <v xml:space="preserve">1  </v>
      </c>
      <c r="I3141" t="str">
        <f>"2020/07/20"</f>
        <v>2020/07/20</v>
      </c>
      <c r="J3141" t="str">
        <f>"512"</f>
        <v>512</v>
      </c>
      <c r="K3141" t="str">
        <f>"20200923"</f>
        <v>20200923</v>
      </c>
      <c r="L3141" t="s">
        <v>18</v>
      </c>
      <c r="M3141" t="str">
        <f>"20200702"</f>
        <v>20200702</v>
      </c>
    </row>
    <row r="3142" spans="1:13" x14ac:dyDescent="0.25">
      <c r="A3142" t="str">
        <f>"00707091"</f>
        <v>00707091</v>
      </c>
      <c r="B3142" t="s">
        <v>1022</v>
      </c>
      <c r="C3142" t="s">
        <v>1023</v>
      </c>
      <c r="D3142" t="s">
        <v>51</v>
      </c>
      <c r="E3142" t="s">
        <v>26</v>
      </c>
      <c r="F3142" t="s">
        <v>17</v>
      </c>
      <c r="G3142" t="str">
        <f>"10"</f>
        <v>10</v>
      </c>
      <c r="H3142" t="str">
        <f>"0  "</f>
        <v xml:space="preserve">0  </v>
      </c>
      <c r="I3142" t="str">
        <f>"2020/09/20"</f>
        <v>2020/09/20</v>
      </c>
      <c r="J3142" t="str">
        <f>"420"</f>
        <v>420</v>
      </c>
      <c r="K3142" t="s">
        <v>18</v>
      </c>
      <c r="L3142" t="s">
        <v>18</v>
      </c>
      <c r="M3142" t="s">
        <v>18</v>
      </c>
    </row>
    <row r="3143" spans="1:13" x14ac:dyDescent="0.25">
      <c r="A3143" t="str">
        <f>"00618335"</f>
        <v>00618335</v>
      </c>
      <c r="B3143" t="s">
        <v>1022</v>
      </c>
      <c r="C3143" t="s">
        <v>1024</v>
      </c>
      <c r="D3143" t="s">
        <v>51</v>
      </c>
      <c r="E3143" t="s">
        <v>26</v>
      </c>
      <c r="F3143" t="s">
        <v>17</v>
      </c>
      <c r="G3143" t="str">
        <f>"10"</f>
        <v>10</v>
      </c>
      <c r="H3143" t="str">
        <f>"0  "</f>
        <v xml:space="preserve">0  </v>
      </c>
      <c r="I3143" t="str">
        <f>"2020/03/23"</f>
        <v>2020/03/23</v>
      </c>
      <c r="J3143" t="str">
        <f>"420"</f>
        <v>420</v>
      </c>
      <c r="K3143" t="s">
        <v>18</v>
      </c>
      <c r="L3143" t="s">
        <v>18</v>
      </c>
      <c r="M3143" t="s">
        <v>18</v>
      </c>
    </row>
    <row r="3144" spans="1:13" x14ac:dyDescent="0.25">
      <c r="A3144" t="str">
        <f>"00197147"</f>
        <v>00197147</v>
      </c>
      <c r="B3144" t="s">
        <v>1030</v>
      </c>
      <c r="C3144" t="s">
        <v>664</v>
      </c>
      <c r="D3144" t="s">
        <v>51</v>
      </c>
      <c r="E3144" t="s">
        <v>26</v>
      </c>
      <c r="F3144" t="s">
        <v>17</v>
      </c>
      <c r="G3144" t="str">
        <f>"10"</f>
        <v>10</v>
      </c>
      <c r="H3144" t="str">
        <f>"3  "</f>
        <v xml:space="preserve">3  </v>
      </c>
      <c r="I3144" t="str">
        <f>"2015/12/08"</f>
        <v>2015/12/08</v>
      </c>
      <c r="J3144" t="str">
        <f>"110"</f>
        <v>110</v>
      </c>
      <c r="K3144" t="str">
        <f>"20210930"</f>
        <v>20210930</v>
      </c>
      <c r="L3144" t="s">
        <v>18</v>
      </c>
      <c r="M3144" t="str">
        <f>"20150110"</f>
        <v>20150110</v>
      </c>
    </row>
    <row r="3145" spans="1:13" x14ac:dyDescent="0.25">
      <c r="A3145" t="str">
        <f>"00550909"</f>
        <v>00550909</v>
      </c>
      <c r="B3145" t="s">
        <v>1037</v>
      </c>
      <c r="C3145" t="s">
        <v>1038</v>
      </c>
      <c r="D3145" t="s">
        <v>25</v>
      </c>
      <c r="E3145" t="s">
        <v>16</v>
      </c>
      <c r="F3145" t="s">
        <v>17</v>
      </c>
      <c r="G3145" t="str">
        <f>"10"</f>
        <v>10</v>
      </c>
      <c r="H3145" t="str">
        <f>"0  "</f>
        <v xml:space="preserve">0  </v>
      </c>
      <c r="I3145" t="str">
        <f>"2019/10/01"</f>
        <v>2019/10/01</v>
      </c>
      <c r="J3145" t="str">
        <f>"420"</f>
        <v>420</v>
      </c>
      <c r="K3145" t="s">
        <v>18</v>
      </c>
      <c r="L3145" t="s">
        <v>18</v>
      </c>
      <c r="M3145" t="s">
        <v>18</v>
      </c>
    </row>
    <row r="3146" spans="1:13" x14ac:dyDescent="0.25">
      <c r="A3146" t="str">
        <f>"00937285"</f>
        <v>00937285</v>
      </c>
      <c r="B3146" t="s">
        <v>1042</v>
      </c>
      <c r="C3146" t="s">
        <v>66</v>
      </c>
      <c r="D3146" t="s">
        <v>25</v>
      </c>
      <c r="E3146" t="s">
        <v>16</v>
      </c>
      <c r="F3146" t="s">
        <v>17</v>
      </c>
      <c r="G3146" t="str">
        <f>"10"</f>
        <v>10</v>
      </c>
      <c r="H3146" t="str">
        <f>"0  "</f>
        <v xml:space="preserve">0  </v>
      </c>
      <c r="I3146" t="str">
        <f>"2020/09/17"</f>
        <v>2020/09/17</v>
      </c>
      <c r="J3146" t="str">
        <f>"420"</f>
        <v>420</v>
      </c>
      <c r="K3146" t="s">
        <v>18</v>
      </c>
      <c r="L3146" t="s">
        <v>18</v>
      </c>
      <c r="M3146" t="s">
        <v>18</v>
      </c>
    </row>
    <row r="3147" spans="1:13" x14ac:dyDescent="0.25">
      <c r="A3147" t="str">
        <f>"00810214"</f>
        <v>00810214</v>
      </c>
      <c r="B3147" t="s">
        <v>1044</v>
      </c>
      <c r="C3147" t="s">
        <v>876</v>
      </c>
      <c r="D3147" t="s">
        <v>25</v>
      </c>
      <c r="E3147" t="s">
        <v>26</v>
      </c>
      <c r="F3147" t="s">
        <v>17</v>
      </c>
      <c r="G3147" t="str">
        <f>"10"</f>
        <v>10</v>
      </c>
      <c r="H3147" t="str">
        <f>"0  "</f>
        <v xml:space="preserve">0  </v>
      </c>
      <c r="I3147" t="str">
        <f>"2019/05/16"</f>
        <v>2019/05/16</v>
      </c>
      <c r="J3147" t="str">
        <f>"420"</f>
        <v>420</v>
      </c>
      <c r="K3147" t="s">
        <v>18</v>
      </c>
      <c r="L3147" t="s">
        <v>18</v>
      </c>
      <c r="M3147" t="s">
        <v>18</v>
      </c>
    </row>
    <row r="3148" spans="1:13" x14ac:dyDescent="0.25">
      <c r="A3148" t="str">
        <f>"00638621"</f>
        <v>00638621</v>
      </c>
      <c r="B3148" t="s">
        <v>1047</v>
      </c>
      <c r="C3148" t="s">
        <v>261</v>
      </c>
      <c r="D3148" t="s">
        <v>40</v>
      </c>
      <c r="E3148" t="s">
        <v>26</v>
      </c>
      <c r="F3148" t="s">
        <v>17</v>
      </c>
      <c r="G3148" t="str">
        <f>"10"</f>
        <v>10</v>
      </c>
      <c r="H3148" t="str">
        <f>"0  "</f>
        <v xml:space="preserve">0  </v>
      </c>
      <c r="I3148" t="str">
        <f>"2020/08/09"</f>
        <v>2020/08/09</v>
      </c>
      <c r="J3148" t="str">
        <f>"420"</f>
        <v>420</v>
      </c>
      <c r="K3148" t="s">
        <v>18</v>
      </c>
      <c r="L3148" t="s">
        <v>18</v>
      </c>
      <c r="M3148" t="s">
        <v>18</v>
      </c>
    </row>
    <row r="3149" spans="1:13" x14ac:dyDescent="0.25">
      <c r="A3149" t="str">
        <f>"00807657"</f>
        <v>00807657</v>
      </c>
      <c r="B3149" t="s">
        <v>1051</v>
      </c>
      <c r="C3149" t="s">
        <v>44</v>
      </c>
      <c r="D3149" t="s">
        <v>25</v>
      </c>
      <c r="E3149" t="s">
        <v>26</v>
      </c>
      <c r="F3149" t="s">
        <v>17</v>
      </c>
      <c r="G3149" t="str">
        <f>"10"</f>
        <v>10</v>
      </c>
      <c r="H3149" t="str">
        <f>"0  "</f>
        <v xml:space="preserve">0  </v>
      </c>
      <c r="I3149" t="str">
        <f>"2020/07/30"</f>
        <v>2020/07/30</v>
      </c>
      <c r="J3149" t="str">
        <f>"420"</f>
        <v>420</v>
      </c>
      <c r="K3149" t="s">
        <v>18</v>
      </c>
      <c r="L3149" t="s">
        <v>18</v>
      </c>
      <c r="M3149" t="s">
        <v>18</v>
      </c>
    </row>
    <row r="3150" spans="1:13" x14ac:dyDescent="0.25">
      <c r="A3150" t="str">
        <f>"00376008"</f>
        <v>00376008</v>
      </c>
      <c r="B3150" t="s">
        <v>1051</v>
      </c>
      <c r="C3150" t="s">
        <v>125</v>
      </c>
      <c r="D3150" t="s">
        <v>25</v>
      </c>
      <c r="E3150" t="s">
        <v>26</v>
      </c>
      <c r="F3150" t="s">
        <v>17</v>
      </c>
      <c r="G3150" t="str">
        <f>"10"</f>
        <v>10</v>
      </c>
      <c r="H3150" t="str">
        <f>"3  "</f>
        <v xml:space="preserve">3  </v>
      </c>
      <c r="I3150" t="str">
        <f>"2020/03/06"</f>
        <v>2020/03/06</v>
      </c>
      <c r="J3150" t="str">
        <f>"110"</f>
        <v>110</v>
      </c>
      <c r="K3150" t="str">
        <f>"20210617"</f>
        <v>20210617</v>
      </c>
      <c r="L3150" t="s">
        <v>18</v>
      </c>
      <c r="M3150" t="str">
        <f>"20190903"</f>
        <v>20190903</v>
      </c>
    </row>
    <row r="3151" spans="1:13" x14ac:dyDescent="0.25">
      <c r="A3151" t="str">
        <f>"00425474"</f>
        <v>00425474</v>
      </c>
      <c r="B3151" t="s">
        <v>1053</v>
      </c>
      <c r="C3151" t="s">
        <v>150</v>
      </c>
      <c r="D3151" t="s">
        <v>15</v>
      </c>
      <c r="E3151" t="s">
        <v>16</v>
      </c>
      <c r="F3151" t="s">
        <v>17</v>
      </c>
      <c r="G3151" t="str">
        <f>"10"</f>
        <v>10</v>
      </c>
      <c r="H3151" t="str">
        <f>"3  "</f>
        <v xml:space="preserve">3  </v>
      </c>
      <c r="I3151" t="str">
        <f>"2015/07/15"</f>
        <v>2015/07/15</v>
      </c>
      <c r="J3151" t="str">
        <f>"120"</f>
        <v>120</v>
      </c>
      <c r="K3151" t="str">
        <f>"20210811"</f>
        <v>20210811</v>
      </c>
      <c r="L3151" t="s">
        <v>18</v>
      </c>
      <c r="M3151" t="str">
        <f>"20150107"</f>
        <v>20150107</v>
      </c>
    </row>
    <row r="3152" spans="1:13" x14ac:dyDescent="0.25">
      <c r="A3152" t="str">
        <f>"00159710"</f>
        <v>00159710</v>
      </c>
      <c r="B3152" t="s">
        <v>1065</v>
      </c>
      <c r="C3152" t="s">
        <v>138</v>
      </c>
      <c r="D3152" t="s">
        <v>456</v>
      </c>
      <c r="E3152" t="s">
        <v>26</v>
      </c>
      <c r="F3152" t="s">
        <v>17</v>
      </c>
      <c r="G3152" t="str">
        <f>"10"</f>
        <v>10</v>
      </c>
      <c r="H3152" t="str">
        <f>"1  "</f>
        <v xml:space="preserve">1  </v>
      </c>
      <c r="I3152" t="str">
        <f>"2020/06/16"</f>
        <v>2020/06/16</v>
      </c>
      <c r="J3152" t="str">
        <f>"120"</f>
        <v>120</v>
      </c>
      <c r="K3152" t="str">
        <f>"20201101"</f>
        <v>20201101</v>
      </c>
      <c r="L3152" t="s">
        <v>18</v>
      </c>
      <c r="M3152" t="str">
        <f>"20200221"</f>
        <v>20200221</v>
      </c>
    </row>
    <row r="3153" spans="1:13" x14ac:dyDescent="0.25">
      <c r="A3153" t="str">
        <f>"00635041"</f>
        <v>00635041</v>
      </c>
      <c r="B3153" t="s">
        <v>1068</v>
      </c>
      <c r="C3153" t="s">
        <v>1069</v>
      </c>
      <c r="D3153" t="s">
        <v>40</v>
      </c>
      <c r="E3153" t="s">
        <v>16</v>
      </c>
      <c r="F3153" t="s">
        <v>17</v>
      </c>
      <c r="G3153" t="str">
        <f>"10"</f>
        <v>10</v>
      </c>
      <c r="H3153" t="str">
        <f>"3  "</f>
        <v xml:space="preserve">3  </v>
      </c>
      <c r="I3153" t="str">
        <f>"2017/09/12"</f>
        <v>2017/09/12</v>
      </c>
      <c r="J3153" t="str">
        <f>"110"</f>
        <v>110</v>
      </c>
      <c r="K3153" t="str">
        <f>"20220602"</f>
        <v>20220602</v>
      </c>
      <c r="L3153" t="s">
        <v>18</v>
      </c>
      <c r="M3153" t="str">
        <f>"20160901"</f>
        <v>20160901</v>
      </c>
    </row>
    <row r="3154" spans="1:13" x14ac:dyDescent="0.25">
      <c r="A3154" t="str">
        <f>"00782240"</f>
        <v>00782240</v>
      </c>
      <c r="B3154" t="s">
        <v>1071</v>
      </c>
      <c r="C3154" t="s">
        <v>650</v>
      </c>
      <c r="D3154" t="s">
        <v>25</v>
      </c>
      <c r="E3154" t="s">
        <v>26</v>
      </c>
      <c r="F3154" t="s">
        <v>17</v>
      </c>
      <c r="G3154" t="str">
        <f>"10"</f>
        <v>10</v>
      </c>
      <c r="H3154" t="str">
        <f>"0  "</f>
        <v xml:space="preserve">0  </v>
      </c>
      <c r="I3154" t="str">
        <f>"2020/05/14"</f>
        <v>2020/05/14</v>
      </c>
      <c r="J3154" t="str">
        <f>"420"</f>
        <v>420</v>
      </c>
      <c r="K3154" t="s">
        <v>18</v>
      </c>
      <c r="L3154" t="s">
        <v>18</v>
      </c>
      <c r="M3154" t="s">
        <v>18</v>
      </c>
    </row>
    <row r="3155" spans="1:13" x14ac:dyDescent="0.25">
      <c r="A3155" t="str">
        <f>"00511520"</f>
        <v>00511520</v>
      </c>
      <c r="B3155" t="s">
        <v>1076</v>
      </c>
      <c r="C3155" t="s">
        <v>437</v>
      </c>
      <c r="D3155" t="s">
        <v>25</v>
      </c>
      <c r="E3155" t="s">
        <v>26</v>
      </c>
      <c r="F3155" t="s">
        <v>17</v>
      </c>
      <c r="G3155" t="str">
        <f>"10"</f>
        <v>10</v>
      </c>
      <c r="H3155" t="str">
        <f>"0  "</f>
        <v xml:space="preserve">0  </v>
      </c>
      <c r="I3155" t="str">
        <f>"2020/03/19"</f>
        <v>2020/03/19</v>
      </c>
      <c r="J3155" t="str">
        <f>"420"</f>
        <v>420</v>
      </c>
      <c r="K3155" t="s">
        <v>18</v>
      </c>
      <c r="L3155" t="s">
        <v>18</v>
      </c>
      <c r="M3155" t="s">
        <v>18</v>
      </c>
    </row>
    <row r="3156" spans="1:13" x14ac:dyDescent="0.25">
      <c r="A3156" t="str">
        <f>"00587425"</f>
        <v>00587425</v>
      </c>
      <c r="B3156" t="s">
        <v>1081</v>
      </c>
      <c r="C3156" t="s">
        <v>1082</v>
      </c>
      <c r="D3156" t="s">
        <v>15</v>
      </c>
      <c r="E3156" t="s">
        <v>26</v>
      </c>
      <c r="F3156" t="s">
        <v>17</v>
      </c>
      <c r="G3156" t="str">
        <f>"10"</f>
        <v>10</v>
      </c>
      <c r="H3156" t="str">
        <f>"0  "</f>
        <v xml:space="preserve">0  </v>
      </c>
      <c r="I3156" t="str">
        <f>"2020/05/30"</f>
        <v>2020/05/30</v>
      </c>
      <c r="J3156" t="str">
        <f>"420"</f>
        <v>420</v>
      </c>
      <c r="K3156" t="s">
        <v>18</v>
      </c>
      <c r="L3156" t="s">
        <v>18</v>
      </c>
      <c r="M3156" t="s">
        <v>18</v>
      </c>
    </row>
    <row r="3157" spans="1:13" x14ac:dyDescent="0.25">
      <c r="A3157" t="str">
        <f>"00207500"</f>
        <v>00207500</v>
      </c>
      <c r="B3157" t="s">
        <v>1081</v>
      </c>
      <c r="C3157" t="s">
        <v>402</v>
      </c>
      <c r="D3157" t="s">
        <v>15</v>
      </c>
      <c r="E3157" t="s">
        <v>26</v>
      </c>
      <c r="F3157" t="s">
        <v>17</v>
      </c>
      <c r="G3157" t="str">
        <f>"10"</f>
        <v>10</v>
      </c>
      <c r="H3157" t="str">
        <f>"3  "</f>
        <v xml:space="preserve">3  </v>
      </c>
      <c r="I3157" t="str">
        <f>"2019/11/23"</f>
        <v>2019/11/23</v>
      </c>
      <c r="J3157" t="str">
        <f>"110"</f>
        <v>110</v>
      </c>
      <c r="K3157" t="str">
        <f>"20260104"</f>
        <v>20260104</v>
      </c>
      <c r="L3157" t="s">
        <v>18</v>
      </c>
      <c r="M3157" t="str">
        <f>"20181010"</f>
        <v>20181010</v>
      </c>
    </row>
    <row r="3158" spans="1:13" x14ac:dyDescent="0.25">
      <c r="A3158" t="str">
        <f>"00592361"</f>
        <v>00592361</v>
      </c>
      <c r="B3158" t="s">
        <v>1085</v>
      </c>
      <c r="C3158" t="s">
        <v>1086</v>
      </c>
      <c r="D3158" t="s">
        <v>40</v>
      </c>
      <c r="E3158" t="s">
        <v>26</v>
      </c>
      <c r="F3158" t="s">
        <v>17</v>
      </c>
      <c r="G3158" t="str">
        <f>"10"</f>
        <v>10</v>
      </c>
      <c r="H3158" t="str">
        <f>"3  "</f>
        <v xml:space="preserve">3  </v>
      </c>
      <c r="I3158" t="str">
        <f>"2020/02/07"</f>
        <v>2020/02/07</v>
      </c>
      <c r="J3158" t="str">
        <f>"120"</f>
        <v>120</v>
      </c>
      <c r="K3158" t="str">
        <f>"20240909"</f>
        <v>20240909</v>
      </c>
      <c r="L3158" t="s">
        <v>18</v>
      </c>
      <c r="M3158" t="str">
        <f>"20190405"</f>
        <v>20190405</v>
      </c>
    </row>
    <row r="3159" spans="1:13" x14ac:dyDescent="0.25">
      <c r="A3159" t="str">
        <f>"00173159"</f>
        <v>00173159</v>
      </c>
      <c r="B3159" t="s">
        <v>1088</v>
      </c>
      <c r="C3159" t="s">
        <v>96</v>
      </c>
      <c r="D3159" t="s">
        <v>73</v>
      </c>
      <c r="E3159" t="s">
        <v>16</v>
      </c>
      <c r="F3159" t="s">
        <v>17</v>
      </c>
      <c r="G3159" t="str">
        <f>"10"</f>
        <v>10</v>
      </c>
      <c r="H3159" t="str">
        <f>"0  "</f>
        <v xml:space="preserve">0  </v>
      </c>
      <c r="I3159" t="str">
        <f>"2019/08/21"</f>
        <v>2019/08/21</v>
      </c>
      <c r="J3159" t="str">
        <f>"420"</f>
        <v>420</v>
      </c>
      <c r="K3159" t="s">
        <v>18</v>
      </c>
      <c r="L3159" t="s">
        <v>18</v>
      </c>
      <c r="M3159" t="s">
        <v>18</v>
      </c>
    </row>
    <row r="3160" spans="1:13" x14ac:dyDescent="0.25">
      <c r="A3160" t="str">
        <f>"00624959"</f>
        <v>00624959</v>
      </c>
      <c r="B3160" t="s">
        <v>1096</v>
      </c>
      <c r="C3160" t="s">
        <v>152</v>
      </c>
      <c r="D3160" t="s">
        <v>40</v>
      </c>
      <c r="E3160" t="s">
        <v>26</v>
      </c>
      <c r="F3160" t="s">
        <v>17</v>
      </c>
      <c r="G3160" t="str">
        <f>"10"</f>
        <v>10</v>
      </c>
      <c r="H3160" t="str">
        <f>"1  "</f>
        <v xml:space="preserve">1  </v>
      </c>
      <c r="I3160" t="str">
        <f>"2020/09/11"</f>
        <v>2020/09/11</v>
      </c>
      <c r="J3160" t="str">
        <f>"120"</f>
        <v>120</v>
      </c>
      <c r="K3160" t="str">
        <f>"20201024"</f>
        <v>20201024</v>
      </c>
      <c r="L3160" t="s">
        <v>18</v>
      </c>
      <c r="M3160" t="str">
        <f>"20200802"</f>
        <v>20200802</v>
      </c>
    </row>
    <row r="3161" spans="1:13" x14ac:dyDescent="0.25">
      <c r="A3161" t="str">
        <f>"00501977"</f>
        <v>00501977</v>
      </c>
      <c r="B3161" t="s">
        <v>1096</v>
      </c>
      <c r="C3161" t="s">
        <v>1097</v>
      </c>
      <c r="D3161" t="s">
        <v>61</v>
      </c>
      <c r="E3161" t="s">
        <v>26</v>
      </c>
      <c r="F3161" t="s">
        <v>17</v>
      </c>
      <c r="G3161" t="str">
        <f>"10"</f>
        <v>10</v>
      </c>
      <c r="H3161" t="str">
        <f>"0  "</f>
        <v xml:space="preserve">0  </v>
      </c>
      <c r="I3161" t="str">
        <f>"2018/12/20"</f>
        <v>2018/12/20</v>
      </c>
      <c r="J3161" t="str">
        <f>"420"</f>
        <v>420</v>
      </c>
      <c r="K3161" t="s">
        <v>18</v>
      </c>
      <c r="L3161" t="s">
        <v>18</v>
      </c>
      <c r="M3161" t="s">
        <v>18</v>
      </c>
    </row>
    <row r="3162" spans="1:13" x14ac:dyDescent="0.25">
      <c r="A3162" t="str">
        <f>"00793237"</f>
        <v>00793237</v>
      </c>
      <c r="B3162" t="s">
        <v>1100</v>
      </c>
      <c r="C3162" t="s">
        <v>802</v>
      </c>
      <c r="D3162" t="s">
        <v>25</v>
      </c>
      <c r="E3162" t="s">
        <v>16</v>
      </c>
      <c r="F3162" t="s">
        <v>17</v>
      </c>
      <c r="G3162" t="str">
        <f>"10"</f>
        <v>10</v>
      </c>
      <c r="H3162" t="str">
        <f>"3  "</f>
        <v xml:space="preserve">3  </v>
      </c>
      <c r="I3162" t="str">
        <f>"2018/03/04"</f>
        <v>2018/03/04</v>
      </c>
      <c r="J3162" t="str">
        <f>"110"</f>
        <v>110</v>
      </c>
      <c r="K3162" t="str">
        <f>"20230531"</f>
        <v>20230531</v>
      </c>
      <c r="L3162" t="s">
        <v>18</v>
      </c>
      <c r="M3162" t="str">
        <f>"20170423"</f>
        <v>20170423</v>
      </c>
    </row>
    <row r="3163" spans="1:13" x14ac:dyDescent="0.25">
      <c r="A3163" t="str">
        <f>"00651805"</f>
        <v>00651805</v>
      </c>
      <c r="B3163" t="s">
        <v>1109</v>
      </c>
      <c r="C3163" t="s">
        <v>74</v>
      </c>
      <c r="D3163" t="s">
        <v>25</v>
      </c>
      <c r="E3163" t="s">
        <v>26</v>
      </c>
      <c r="F3163" t="s">
        <v>17</v>
      </c>
      <c r="G3163" t="str">
        <f>"10"</f>
        <v>10</v>
      </c>
      <c r="H3163" t="str">
        <f>"0  "</f>
        <v xml:space="preserve">0  </v>
      </c>
      <c r="I3163" t="str">
        <f>"2018/12/03"</f>
        <v>2018/12/03</v>
      </c>
      <c r="J3163" t="str">
        <f>"420"</f>
        <v>420</v>
      </c>
      <c r="K3163" t="s">
        <v>18</v>
      </c>
      <c r="L3163" t="s">
        <v>18</v>
      </c>
      <c r="M3163" t="s">
        <v>18</v>
      </c>
    </row>
    <row r="3164" spans="1:13" x14ac:dyDescent="0.25">
      <c r="A3164" t="str">
        <f>"00399081"</f>
        <v>00399081</v>
      </c>
      <c r="B3164" t="s">
        <v>1114</v>
      </c>
      <c r="C3164" t="s">
        <v>1115</v>
      </c>
      <c r="D3164" t="s">
        <v>51</v>
      </c>
      <c r="E3164" t="s">
        <v>26</v>
      </c>
      <c r="F3164" t="s">
        <v>17</v>
      </c>
      <c r="G3164" t="str">
        <f>"10"</f>
        <v>10</v>
      </c>
      <c r="H3164" t="str">
        <f>"3  "</f>
        <v xml:space="preserve">3  </v>
      </c>
      <c r="I3164" t="str">
        <f>"2019/03/22"</f>
        <v>2019/03/22</v>
      </c>
      <c r="J3164" t="str">
        <f>"110"</f>
        <v>110</v>
      </c>
      <c r="K3164" t="str">
        <f>"20220506"</f>
        <v>20220506</v>
      </c>
      <c r="L3164" t="s">
        <v>18</v>
      </c>
      <c r="M3164" t="str">
        <f>"20180124"</f>
        <v>20180124</v>
      </c>
    </row>
    <row r="3165" spans="1:13" x14ac:dyDescent="0.25">
      <c r="A3165" t="str">
        <f>"00661968"</f>
        <v>00661968</v>
      </c>
      <c r="B3165" t="s">
        <v>1116</v>
      </c>
      <c r="C3165" t="s">
        <v>122</v>
      </c>
      <c r="D3165" t="s">
        <v>31</v>
      </c>
      <c r="E3165" t="s">
        <v>16</v>
      </c>
      <c r="F3165" t="s">
        <v>17</v>
      </c>
      <c r="G3165" t="str">
        <f>"10"</f>
        <v>10</v>
      </c>
      <c r="H3165" t="str">
        <f>"3  "</f>
        <v xml:space="preserve">3  </v>
      </c>
      <c r="I3165" t="str">
        <f>"2017/03/24"</f>
        <v>2017/03/24</v>
      </c>
      <c r="J3165" t="str">
        <f>"110"</f>
        <v>110</v>
      </c>
      <c r="K3165" t="str">
        <f>"20210919"</f>
        <v>20210919</v>
      </c>
      <c r="L3165" t="s">
        <v>18</v>
      </c>
      <c r="M3165" t="str">
        <f>"20161008"</f>
        <v>20161008</v>
      </c>
    </row>
    <row r="3166" spans="1:13" x14ac:dyDescent="0.25">
      <c r="A3166" t="str">
        <f>"00386994"</f>
        <v>00386994</v>
      </c>
      <c r="B3166" t="s">
        <v>1117</v>
      </c>
      <c r="C3166" t="s">
        <v>1120</v>
      </c>
      <c r="D3166" t="s">
        <v>21</v>
      </c>
      <c r="E3166" t="s">
        <v>26</v>
      </c>
      <c r="F3166" t="s">
        <v>17</v>
      </c>
      <c r="G3166" t="str">
        <f>"10"</f>
        <v>10</v>
      </c>
      <c r="H3166" t="str">
        <f>"0  "</f>
        <v xml:space="preserve">0  </v>
      </c>
      <c r="I3166" t="str">
        <f>"2020/09/18"</f>
        <v>2020/09/18</v>
      </c>
      <c r="J3166" t="str">
        <f>"420"</f>
        <v>420</v>
      </c>
      <c r="K3166" t="s">
        <v>18</v>
      </c>
      <c r="L3166" t="s">
        <v>18</v>
      </c>
      <c r="M3166" t="s">
        <v>18</v>
      </c>
    </row>
    <row r="3167" spans="1:13" x14ac:dyDescent="0.25">
      <c r="A3167" t="str">
        <f>"00731536"</f>
        <v>00731536</v>
      </c>
      <c r="B3167" t="s">
        <v>1132</v>
      </c>
      <c r="C3167" t="s">
        <v>624</v>
      </c>
      <c r="D3167" t="s">
        <v>25</v>
      </c>
      <c r="E3167" t="s">
        <v>26</v>
      </c>
      <c r="F3167" t="s">
        <v>17</v>
      </c>
      <c r="G3167" t="str">
        <f>"10"</f>
        <v>10</v>
      </c>
      <c r="H3167" t="str">
        <f>"3  "</f>
        <v xml:space="preserve">3  </v>
      </c>
      <c r="I3167" t="str">
        <f>"2020/03/12"</f>
        <v>2020/03/12</v>
      </c>
      <c r="J3167" t="str">
        <f>"110"</f>
        <v>110</v>
      </c>
      <c r="K3167" t="str">
        <f>"20220124"</f>
        <v>20220124</v>
      </c>
      <c r="L3167" t="s">
        <v>18</v>
      </c>
      <c r="M3167" t="str">
        <f>"20191014"</f>
        <v>20191014</v>
      </c>
    </row>
    <row r="3168" spans="1:13" x14ac:dyDescent="0.25">
      <c r="A3168" t="str">
        <f>"00442290"</f>
        <v>00442290</v>
      </c>
      <c r="B3168" t="s">
        <v>1137</v>
      </c>
      <c r="C3168" t="s">
        <v>74</v>
      </c>
      <c r="D3168" t="s">
        <v>51</v>
      </c>
      <c r="E3168" t="s">
        <v>26</v>
      </c>
      <c r="F3168" t="s">
        <v>17</v>
      </c>
      <c r="G3168" t="str">
        <f>"10"</f>
        <v>10</v>
      </c>
      <c r="H3168" t="str">
        <f>"3  "</f>
        <v xml:space="preserve">3  </v>
      </c>
      <c r="I3168" t="str">
        <f>"2019/11/22"</f>
        <v>2019/11/22</v>
      </c>
      <c r="J3168" t="str">
        <f>"110"</f>
        <v>110</v>
      </c>
      <c r="K3168" t="str">
        <f>"20210816"</f>
        <v>20210816</v>
      </c>
      <c r="L3168" t="s">
        <v>18</v>
      </c>
      <c r="M3168" t="str">
        <f>"20181220"</f>
        <v>20181220</v>
      </c>
    </row>
    <row r="3169" spans="1:13" x14ac:dyDescent="0.25">
      <c r="A3169" t="str">
        <f>"00182165"</f>
        <v>00182165</v>
      </c>
      <c r="B3169" t="s">
        <v>1137</v>
      </c>
      <c r="C3169" t="s">
        <v>1140</v>
      </c>
      <c r="D3169" t="s">
        <v>47</v>
      </c>
      <c r="E3169" t="s">
        <v>26</v>
      </c>
      <c r="F3169" t="s">
        <v>17</v>
      </c>
      <c r="G3169" t="str">
        <f>"10"</f>
        <v>10</v>
      </c>
      <c r="H3169" t="str">
        <f>"0  "</f>
        <v xml:space="preserve">0  </v>
      </c>
      <c r="I3169" t="str">
        <f>"2020/03/07"</f>
        <v>2020/03/07</v>
      </c>
      <c r="J3169" t="str">
        <f>"420"</f>
        <v>420</v>
      </c>
      <c r="K3169" t="s">
        <v>18</v>
      </c>
      <c r="L3169" t="s">
        <v>18</v>
      </c>
      <c r="M3169" t="s">
        <v>18</v>
      </c>
    </row>
    <row r="3170" spans="1:13" x14ac:dyDescent="0.25">
      <c r="A3170" t="str">
        <f>"00720814"</f>
        <v>00720814</v>
      </c>
      <c r="B3170" t="s">
        <v>1137</v>
      </c>
      <c r="C3170" t="s">
        <v>1141</v>
      </c>
      <c r="D3170" t="s">
        <v>25</v>
      </c>
      <c r="E3170" t="s">
        <v>26</v>
      </c>
      <c r="F3170" t="s">
        <v>17</v>
      </c>
      <c r="G3170" t="str">
        <f>"10"</f>
        <v>10</v>
      </c>
      <c r="H3170" t="str">
        <f>"3  "</f>
        <v xml:space="preserve">3  </v>
      </c>
      <c r="I3170" t="str">
        <f>"2020/01/17"</f>
        <v>2020/01/17</v>
      </c>
      <c r="J3170" t="str">
        <f>"502"</f>
        <v>502</v>
      </c>
      <c r="K3170" t="str">
        <f>"20391221"</f>
        <v>20391221</v>
      </c>
      <c r="L3170" t="s">
        <v>18</v>
      </c>
      <c r="M3170" t="str">
        <f>"20170726"</f>
        <v>20170726</v>
      </c>
    </row>
    <row r="3171" spans="1:13" x14ac:dyDescent="0.25">
      <c r="A3171" t="str">
        <f>"00908223"</f>
        <v>00908223</v>
      </c>
      <c r="B3171" t="s">
        <v>1143</v>
      </c>
      <c r="C3171" t="s">
        <v>1144</v>
      </c>
      <c r="D3171" t="s">
        <v>15</v>
      </c>
      <c r="E3171" t="s">
        <v>16</v>
      </c>
      <c r="F3171" t="s">
        <v>17</v>
      </c>
      <c r="G3171" t="str">
        <f>"10"</f>
        <v>10</v>
      </c>
      <c r="H3171" t="str">
        <f>"0  "</f>
        <v xml:space="preserve">0  </v>
      </c>
      <c r="I3171" t="str">
        <f>"2020/08/29"</f>
        <v>2020/08/29</v>
      </c>
      <c r="J3171" t="str">
        <f>"420"</f>
        <v>420</v>
      </c>
      <c r="K3171" t="s">
        <v>18</v>
      </c>
      <c r="L3171" t="s">
        <v>18</v>
      </c>
      <c r="M3171" t="s">
        <v>18</v>
      </c>
    </row>
    <row r="3172" spans="1:13" x14ac:dyDescent="0.25">
      <c r="A3172" t="str">
        <f>"00453523"</f>
        <v>00453523</v>
      </c>
      <c r="B3172" t="s">
        <v>1149</v>
      </c>
      <c r="C3172" t="s">
        <v>555</v>
      </c>
      <c r="D3172" t="s">
        <v>21</v>
      </c>
      <c r="E3172" t="s">
        <v>26</v>
      </c>
      <c r="F3172" t="s">
        <v>17</v>
      </c>
      <c r="G3172" t="str">
        <f>"10"</f>
        <v>10</v>
      </c>
      <c r="H3172" t="str">
        <f>"0  "</f>
        <v xml:space="preserve">0  </v>
      </c>
      <c r="I3172" t="str">
        <f>"2020/06/27"</f>
        <v>2020/06/27</v>
      </c>
      <c r="J3172" t="str">
        <f>"420"</f>
        <v>420</v>
      </c>
      <c r="K3172" t="s">
        <v>18</v>
      </c>
      <c r="L3172" t="s">
        <v>18</v>
      </c>
      <c r="M3172" t="s">
        <v>18</v>
      </c>
    </row>
    <row r="3173" spans="1:13" x14ac:dyDescent="0.25">
      <c r="A3173" t="str">
        <f>"00536891"</f>
        <v>00536891</v>
      </c>
      <c r="B3173" t="s">
        <v>1151</v>
      </c>
      <c r="C3173" t="s">
        <v>437</v>
      </c>
      <c r="D3173" t="s">
        <v>21</v>
      </c>
      <c r="E3173" t="s">
        <v>26</v>
      </c>
      <c r="F3173" t="s">
        <v>17</v>
      </c>
      <c r="G3173" t="str">
        <f>"10"</f>
        <v>10</v>
      </c>
      <c r="H3173" t="str">
        <f>"0  "</f>
        <v xml:space="preserve">0  </v>
      </c>
      <c r="I3173" t="str">
        <f>"2020/04/05"</f>
        <v>2020/04/05</v>
      </c>
      <c r="J3173" t="str">
        <f>"420"</f>
        <v>420</v>
      </c>
      <c r="K3173" t="s">
        <v>18</v>
      </c>
      <c r="L3173" t="s">
        <v>18</v>
      </c>
      <c r="M3173" t="s">
        <v>18</v>
      </c>
    </row>
    <row r="3174" spans="1:13" x14ac:dyDescent="0.25">
      <c r="A3174" t="str">
        <f>"00814077"</f>
        <v>00814077</v>
      </c>
      <c r="B3174" t="s">
        <v>1151</v>
      </c>
      <c r="C3174" t="s">
        <v>154</v>
      </c>
      <c r="D3174" t="s">
        <v>25</v>
      </c>
      <c r="E3174" t="s">
        <v>26</v>
      </c>
      <c r="F3174" t="s">
        <v>17</v>
      </c>
      <c r="G3174" t="str">
        <f>"10"</f>
        <v>10</v>
      </c>
      <c r="H3174" t="str">
        <f>"3  "</f>
        <v xml:space="preserve">3  </v>
      </c>
      <c r="I3174" t="str">
        <f>"2019/08/19"</f>
        <v>2019/08/19</v>
      </c>
      <c r="J3174" t="str">
        <f>"110"</f>
        <v>110</v>
      </c>
      <c r="K3174" t="str">
        <f>"20231221"</f>
        <v>20231221</v>
      </c>
      <c r="L3174" t="s">
        <v>18</v>
      </c>
      <c r="M3174" t="str">
        <f>"20190716"</f>
        <v>20190716</v>
      </c>
    </row>
    <row r="3175" spans="1:13" x14ac:dyDescent="0.25">
      <c r="A3175" t="str">
        <f>"00887822"</f>
        <v>00887822</v>
      </c>
      <c r="B3175" t="s">
        <v>1151</v>
      </c>
      <c r="C3175" t="s">
        <v>1153</v>
      </c>
      <c r="D3175" t="s">
        <v>97</v>
      </c>
      <c r="E3175" t="s">
        <v>26</v>
      </c>
      <c r="F3175" t="s">
        <v>17</v>
      </c>
      <c r="G3175" t="str">
        <f>"10"</f>
        <v>10</v>
      </c>
      <c r="H3175" t="str">
        <f>"3  "</f>
        <v xml:space="preserve">3  </v>
      </c>
      <c r="I3175" t="str">
        <f>"2020/07/20"</f>
        <v>2020/07/20</v>
      </c>
      <c r="J3175" t="str">
        <f>"110"</f>
        <v>110</v>
      </c>
      <c r="K3175" t="str">
        <f>"20310410"</f>
        <v>20310410</v>
      </c>
      <c r="L3175" t="s">
        <v>18</v>
      </c>
      <c r="M3175" t="str">
        <f>"20180817"</f>
        <v>20180817</v>
      </c>
    </row>
    <row r="3176" spans="1:13" x14ac:dyDescent="0.25">
      <c r="A3176" t="str">
        <f>"00173220"</f>
        <v>00173220</v>
      </c>
      <c r="B3176" t="s">
        <v>1151</v>
      </c>
      <c r="C3176" t="s">
        <v>213</v>
      </c>
      <c r="D3176" t="s">
        <v>61</v>
      </c>
      <c r="E3176" t="s">
        <v>16</v>
      </c>
      <c r="F3176" t="s">
        <v>17</v>
      </c>
      <c r="G3176" t="str">
        <f>"10"</f>
        <v>10</v>
      </c>
      <c r="H3176" t="str">
        <f>"3  "</f>
        <v xml:space="preserve">3  </v>
      </c>
      <c r="I3176" t="str">
        <f>"2015/10/01"</f>
        <v>2015/10/01</v>
      </c>
      <c r="J3176" t="str">
        <f>"110"</f>
        <v>110</v>
      </c>
      <c r="K3176" t="str">
        <f>"20250105"</f>
        <v>20250105</v>
      </c>
      <c r="L3176" t="s">
        <v>18</v>
      </c>
      <c r="M3176" t="str">
        <f>"20141103"</f>
        <v>20141103</v>
      </c>
    </row>
    <row r="3177" spans="1:13" x14ac:dyDescent="0.25">
      <c r="A3177" t="str">
        <f>"00699882"</f>
        <v>00699882</v>
      </c>
      <c r="B3177" t="s">
        <v>1151</v>
      </c>
      <c r="C3177" t="s">
        <v>1156</v>
      </c>
      <c r="D3177" t="s">
        <v>25</v>
      </c>
      <c r="E3177" t="s">
        <v>26</v>
      </c>
      <c r="F3177" t="s">
        <v>17</v>
      </c>
      <c r="G3177" t="str">
        <f>"10"</f>
        <v>10</v>
      </c>
      <c r="H3177" t="str">
        <f>"1  "</f>
        <v xml:space="preserve">1  </v>
      </c>
      <c r="I3177" t="str">
        <f>"2020/07/30"</f>
        <v>2020/07/30</v>
      </c>
      <c r="J3177" t="str">
        <f>"110"</f>
        <v>110</v>
      </c>
      <c r="K3177" t="str">
        <f>"20210327"</f>
        <v>20210327</v>
      </c>
      <c r="L3177" t="s">
        <v>18</v>
      </c>
      <c r="M3177" t="str">
        <f>"20200421"</f>
        <v>20200421</v>
      </c>
    </row>
    <row r="3178" spans="1:13" x14ac:dyDescent="0.25">
      <c r="A3178" t="str">
        <f>"00154897"</f>
        <v>00154897</v>
      </c>
      <c r="B3178" t="s">
        <v>1151</v>
      </c>
      <c r="C3178" t="s">
        <v>1157</v>
      </c>
      <c r="D3178" t="s">
        <v>51</v>
      </c>
      <c r="E3178" t="s">
        <v>26</v>
      </c>
      <c r="F3178" t="s">
        <v>17</v>
      </c>
      <c r="G3178" t="str">
        <f>"10"</f>
        <v>10</v>
      </c>
      <c r="H3178" t="str">
        <f>"3  "</f>
        <v xml:space="preserve">3  </v>
      </c>
      <c r="I3178" t="str">
        <f>"2019/06/24"</f>
        <v>2019/06/24</v>
      </c>
      <c r="J3178" t="str">
        <f>"110"</f>
        <v>110</v>
      </c>
      <c r="K3178" t="str">
        <f>"20230721"</f>
        <v>20230721</v>
      </c>
      <c r="L3178" t="s">
        <v>18</v>
      </c>
      <c r="M3178" t="str">
        <f>"20190311"</f>
        <v>20190311</v>
      </c>
    </row>
    <row r="3179" spans="1:13" x14ac:dyDescent="0.25">
      <c r="A3179" t="str">
        <f>"00155091"</f>
        <v>00155091</v>
      </c>
      <c r="B3179" t="s">
        <v>1151</v>
      </c>
      <c r="C3179" t="s">
        <v>320</v>
      </c>
      <c r="D3179" t="s">
        <v>47</v>
      </c>
      <c r="E3179" t="s">
        <v>16</v>
      </c>
      <c r="F3179" t="s">
        <v>17</v>
      </c>
      <c r="G3179" t="str">
        <f>"10"</f>
        <v>10</v>
      </c>
      <c r="H3179" t="str">
        <f>"3  "</f>
        <v xml:space="preserve">3  </v>
      </c>
      <c r="I3179" t="str">
        <f>"2020/06/26"</f>
        <v>2020/06/26</v>
      </c>
      <c r="J3179" t="str">
        <f>"110"</f>
        <v>110</v>
      </c>
      <c r="K3179" t="str">
        <f>"20270226"</f>
        <v>20270226</v>
      </c>
      <c r="L3179" t="s">
        <v>18</v>
      </c>
      <c r="M3179" t="str">
        <f>"20200227"</f>
        <v>20200227</v>
      </c>
    </row>
    <row r="3180" spans="1:13" x14ac:dyDescent="0.25">
      <c r="A3180" t="str">
        <f>"00553035"</f>
        <v>00553035</v>
      </c>
      <c r="B3180" t="s">
        <v>1151</v>
      </c>
      <c r="C3180" t="s">
        <v>1158</v>
      </c>
      <c r="D3180" t="s">
        <v>25</v>
      </c>
      <c r="E3180" t="s">
        <v>26</v>
      </c>
      <c r="F3180" t="s">
        <v>17</v>
      </c>
      <c r="G3180" t="str">
        <f>"10"</f>
        <v>10</v>
      </c>
      <c r="H3180" t="str">
        <f>"3  "</f>
        <v xml:space="preserve">3  </v>
      </c>
      <c r="I3180" t="str">
        <f>"2020/08/06"</f>
        <v>2020/08/06</v>
      </c>
      <c r="J3180" t="str">
        <f>"120"</f>
        <v>120</v>
      </c>
      <c r="K3180" t="str">
        <f>"20241028"</f>
        <v>20241028</v>
      </c>
      <c r="L3180" t="s">
        <v>18</v>
      </c>
      <c r="M3180" t="str">
        <f>"20191104"</f>
        <v>20191104</v>
      </c>
    </row>
    <row r="3181" spans="1:13" x14ac:dyDescent="0.25">
      <c r="A3181" t="str">
        <f>"00402198"</f>
        <v>00402198</v>
      </c>
      <c r="B3181" t="s">
        <v>1151</v>
      </c>
      <c r="C3181" t="s">
        <v>1026</v>
      </c>
      <c r="D3181" t="s">
        <v>80</v>
      </c>
      <c r="E3181" t="s">
        <v>26</v>
      </c>
      <c r="F3181" t="s">
        <v>17</v>
      </c>
      <c r="G3181" t="str">
        <f>"10"</f>
        <v>10</v>
      </c>
      <c r="H3181" t="str">
        <f>"0  "</f>
        <v xml:space="preserve">0  </v>
      </c>
      <c r="I3181" t="str">
        <f>"2020/06/09"</f>
        <v>2020/06/09</v>
      </c>
      <c r="J3181" t="str">
        <f>"420"</f>
        <v>420</v>
      </c>
      <c r="K3181" t="s">
        <v>18</v>
      </c>
      <c r="L3181" t="s">
        <v>18</v>
      </c>
      <c r="M3181" t="s">
        <v>18</v>
      </c>
    </row>
    <row r="3182" spans="1:13" x14ac:dyDescent="0.25">
      <c r="A3182" t="str">
        <f>"00687645"</f>
        <v>00687645</v>
      </c>
      <c r="B3182" t="s">
        <v>1163</v>
      </c>
      <c r="C3182" t="s">
        <v>1164</v>
      </c>
      <c r="D3182" t="s">
        <v>53</v>
      </c>
      <c r="E3182" t="s">
        <v>26</v>
      </c>
      <c r="F3182" t="s">
        <v>17</v>
      </c>
      <c r="G3182" t="str">
        <f>"10"</f>
        <v>10</v>
      </c>
      <c r="H3182" t="str">
        <f>"0  "</f>
        <v xml:space="preserve">0  </v>
      </c>
      <c r="I3182" t="str">
        <f>"2020/09/15"</f>
        <v>2020/09/15</v>
      </c>
      <c r="J3182" t="str">
        <f>"420"</f>
        <v>420</v>
      </c>
      <c r="K3182" t="s">
        <v>18</v>
      </c>
      <c r="L3182" t="s">
        <v>18</v>
      </c>
      <c r="M3182" t="s">
        <v>18</v>
      </c>
    </row>
    <row r="3183" spans="1:13" x14ac:dyDescent="0.25">
      <c r="A3183" t="str">
        <f>"00690631"</f>
        <v>00690631</v>
      </c>
      <c r="B3183" t="s">
        <v>1165</v>
      </c>
      <c r="C3183" t="s">
        <v>135</v>
      </c>
      <c r="D3183" t="s">
        <v>80</v>
      </c>
      <c r="E3183" t="s">
        <v>16</v>
      </c>
      <c r="F3183" t="s">
        <v>17</v>
      </c>
      <c r="G3183" t="str">
        <f>"10"</f>
        <v>10</v>
      </c>
      <c r="H3183" t="str">
        <f>"3  "</f>
        <v xml:space="preserve">3  </v>
      </c>
      <c r="I3183" t="str">
        <f>"2020/01/30"</f>
        <v>2020/01/30</v>
      </c>
      <c r="J3183" t="str">
        <f>"503"</f>
        <v>503</v>
      </c>
      <c r="K3183" t="str">
        <f>"20220618"</f>
        <v>20220618</v>
      </c>
      <c r="L3183" t="s">
        <v>18</v>
      </c>
      <c r="M3183" t="str">
        <f>"20191223"</f>
        <v>20191223</v>
      </c>
    </row>
    <row r="3184" spans="1:13" x14ac:dyDescent="0.25">
      <c r="A3184" t="str">
        <f>"00883655"</f>
        <v>00883655</v>
      </c>
      <c r="B3184" t="s">
        <v>1169</v>
      </c>
      <c r="C3184" t="s">
        <v>1170</v>
      </c>
      <c r="D3184" t="s">
        <v>53</v>
      </c>
      <c r="E3184" t="s">
        <v>16</v>
      </c>
      <c r="F3184" t="s">
        <v>17</v>
      </c>
      <c r="G3184" t="str">
        <f>"10"</f>
        <v>10</v>
      </c>
      <c r="H3184" t="str">
        <f>"3  "</f>
        <v xml:space="preserve">3  </v>
      </c>
      <c r="I3184" t="str">
        <f>"2019/05/13"</f>
        <v>2019/05/13</v>
      </c>
      <c r="J3184" t="str">
        <f>"110"</f>
        <v>110</v>
      </c>
      <c r="K3184" t="str">
        <f>"20221002"</f>
        <v>20221002</v>
      </c>
      <c r="L3184" t="s">
        <v>18</v>
      </c>
      <c r="M3184" t="str">
        <f>"20180620"</f>
        <v>20180620</v>
      </c>
    </row>
    <row r="3185" spans="1:13" x14ac:dyDescent="0.25">
      <c r="A3185" t="str">
        <f>"00653314"</f>
        <v>00653314</v>
      </c>
      <c r="B3185" t="s">
        <v>1171</v>
      </c>
      <c r="C3185" t="s">
        <v>325</v>
      </c>
      <c r="D3185" t="s">
        <v>16</v>
      </c>
      <c r="E3185" t="s">
        <v>16</v>
      </c>
      <c r="F3185" t="s">
        <v>17</v>
      </c>
      <c r="G3185" t="str">
        <f>"10"</f>
        <v>10</v>
      </c>
      <c r="H3185" t="str">
        <f>"3  "</f>
        <v xml:space="preserve">3  </v>
      </c>
      <c r="I3185" t="str">
        <f>"2018/04/17"</f>
        <v>2018/04/17</v>
      </c>
      <c r="J3185" t="str">
        <f>"534"</f>
        <v>534</v>
      </c>
      <c r="K3185" t="str">
        <f>"20210604"</f>
        <v>20210604</v>
      </c>
      <c r="L3185" t="s">
        <v>18</v>
      </c>
      <c r="M3185" t="str">
        <f>"20170228"</f>
        <v>20170228</v>
      </c>
    </row>
    <row r="3186" spans="1:13" x14ac:dyDescent="0.25">
      <c r="A3186" t="str">
        <f>"00663869"</f>
        <v>00663869</v>
      </c>
      <c r="B3186" t="s">
        <v>1182</v>
      </c>
      <c r="C3186" t="s">
        <v>1183</v>
      </c>
      <c r="D3186" t="s">
        <v>47</v>
      </c>
      <c r="E3186" t="s">
        <v>16</v>
      </c>
      <c r="F3186" t="s">
        <v>17</v>
      </c>
      <c r="G3186" t="str">
        <f>"10"</f>
        <v>10</v>
      </c>
      <c r="H3186" t="str">
        <f>"0  "</f>
        <v xml:space="preserve">0  </v>
      </c>
      <c r="I3186" t="str">
        <f>"2020/09/22"</f>
        <v>2020/09/22</v>
      </c>
      <c r="J3186" t="str">
        <f>"420"</f>
        <v>420</v>
      </c>
      <c r="K3186" t="s">
        <v>18</v>
      </c>
      <c r="L3186" t="s">
        <v>18</v>
      </c>
      <c r="M3186" t="s">
        <v>18</v>
      </c>
    </row>
    <row r="3187" spans="1:13" x14ac:dyDescent="0.25">
      <c r="A3187" t="str">
        <f>"00822997"</f>
        <v>00822997</v>
      </c>
      <c r="B3187" t="s">
        <v>1185</v>
      </c>
      <c r="C3187" t="s">
        <v>261</v>
      </c>
      <c r="D3187" t="s">
        <v>47</v>
      </c>
      <c r="E3187" t="s">
        <v>26</v>
      </c>
      <c r="F3187" t="s">
        <v>17</v>
      </c>
      <c r="G3187" t="str">
        <f>"10"</f>
        <v>10</v>
      </c>
      <c r="H3187" t="str">
        <f>"3  "</f>
        <v xml:space="preserve">3  </v>
      </c>
      <c r="I3187" t="str">
        <f>"2019/11/20"</f>
        <v>2019/11/20</v>
      </c>
      <c r="J3187" t="str">
        <f>"110"</f>
        <v>110</v>
      </c>
      <c r="K3187" t="str">
        <f>"20221130"</f>
        <v>20221130</v>
      </c>
      <c r="L3187" t="s">
        <v>18</v>
      </c>
      <c r="M3187" t="str">
        <f>"20190529"</f>
        <v>20190529</v>
      </c>
    </row>
    <row r="3188" spans="1:13" x14ac:dyDescent="0.25">
      <c r="A3188" t="str">
        <f>"00589842"</f>
        <v>00589842</v>
      </c>
      <c r="B3188" t="s">
        <v>1186</v>
      </c>
      <c r="C3188" t="s">
        <v>251</v>
      </c>
      <c r="D3188" t="s">
        <v>179</v>
      </c>
      <c r="E3188" t="s">
        <v>16</v>
      </c>
      <c r="F3188" t="s">
        <v>17</v>
      </c>
      <c r="G3188" t="str">
        <f>"10"</f>
        <v>10</v>
      </c>
      <c r="H3188" t="str">
        <f>"3  "</f>
        <v xml:space="preserve">3  </v>
      </c>
      <c r="I3188" t="str">
        <f>"2020/02/10"</f>
        <v>2020/02/10</v>
      </c>
      <c r="J3188" t="str">
        <f>"120"</f>
        <v>120</v>
      </c>
      <c r="K3188" t="str">
        <f>"20251110"</f>
        <v>20251110</v>
      </c>
      <c r="L3188" t="s">
        <v>18</v>
      </c>
      <c r="M3188" t="str">
        <f>"20200121"</f>
        <v>20200121</v>
      </c>
    </row>
    <row r="3189" spans="1:13" x14ac:dyDescent="0.25">
      <c r="A3189" t="str">
        <f>"00700456"</f>
        <v>00700456</v>
      </c>
      <c r="B3189" t="s">
        <v>1192</v>
      </c>
      <c r="C3189" t="s">
        <v>213</v>
      </c>
      <c r="D3189" t="s">
        <v>25</v>
      </c>
      <c r="E3189" t="s">
        <v>26</v>
      </c>
      <c r="F3189" t="s">
        <v>17</v>
      </c>
      <c r="G3189" t="str">
        <f>"10"</f>
        <v>10</v>
      </c>
      <c r="H3189" t="str">
        <f>"3  "</f>
        <v xml:space="preserve">3  </v>
      </c>
      <c r="I3189" t="str">
        <f>"2018/03/05"</f>
        <v>2018/03/05</v>
      </c>
      <c r="J3189" t="str">
        <f>"110"</f>
        <v>110</v>
      </c>
      <c r="K3189" t="str">
        <f>"20220116"</f>
        <v>20220116</v>
      </c>
      <c r="L3189" t="s">
        <v>18</v>
      </c>
      <c r="M3189" t="str">
        <f>"20171116"</f>
        <v>20171116</v>
      </c>
    </row>
    <row r="3190" spans="1:13" x14ac:dyDescent="0.25">
      <c r="A3190" t="str">
        <f>"00282585"</f>
        <v>00282585</v>
      </c>
      <c r="B3190" t="s">
        <v>1193</v>
      </c>
      <c r="C3190" t="s">
        <v>320</v>
      </c>
      <c r="D3190" t="s">
        <v>15</v>
      </c>
      <c r="E3190" t="s">
        <v>26</v>
      </c>
      <c r="F3190" t="s">
        <v>17</v>
      </c>
      <c r="G3190" t="str">
        <f>"10"</f>
        <v>10</v>
      </c>
      <c r="H3190" t="str">
        <f>"3  "</f>
        <v xml:space="preserve">3  </v>
      </c>
      <c r="I3190" t="str">
        <f>"2018/03/04"</f>
        <v>2018/03/04</v>
      </c>
      <c r="J3190" t="str">
        <f>"110"</f>
        <v>110</v>
      </c>
      <c r="K3190" t="str">
        <f>"20240413"</f>
        <v>20240413</v>
      </c>
      <c r="L3190" t="s">
        <v>18</v>
      </c>
      <c r="M3190" t="str">
        <f>"20170323"</f>
        <v>20170323</v>
      </c>
    </row>
    <row r="3191" spans="1:13" x14ac:dyDescent="0.25">
      <c r="A3191" t="str">
        <f>"00621499"</f>
        <v>00621499</v>
      </c>
      <c r="B3191" t="s">
        <v>1193</v>
      </c>
      <c r="C3191" t="s">
        <v>1194</v>
      </c>
      <c r="D3191" t="s">
        <v>25</v>
      </c>
      <c r="E3191" t="s">
        <v>26</v>
      </c>
      <c r="F3191" t="s">
        <v>17</v>
      </c>
      <c r="G3191" t="str">
        <f>"10"</f>
        <v>10</v>
      </c>
      <c r="H3191" t="str">
        <f>"1  "</f>
        <v xml:space="preserve">1  </v>
      </c>
      <c r="I3191" t="str">
        <f>"2020/08/10"</f>
        <v>2020/08/10</v>
      </c>
      <c r="J3191" t="str">
        <f>"512"</f>
        <v>512</v>
      </c>
      <c r="K3191" t="str">
        <f>"20210625"</f>
        <v>20210625</v>
      </c>
      <c r="L3191" t="s">
        <v>18</v>
      </c>
      <c r="M3191" t="str">
        <f>"20200720"</f>
        <v>20200720</v>
      </c>
    </row>
    <row r="3192" spans="1:13" x14ac:dyDescent="0.25">
      <c r="A3192" t="str">
        <f>"00628001"</f>
        <v>00628001</v>
      </c>
      <c r="B3192" t="s">
        <v>1195</v>
      </c>
      <c r="C3192" t="s">
        <v>1196</v>
      </c>
      <c r="D3192" t="s">
        <v>25</v>
      </c>
      <c r="E3192" t="s">
        <v>26</v>
      </c>
      <c r="F3192" t="s">
        <v>17</v>
      </c>
      <c r="G3192" t="str">
        <f>"10"</f>
        <v>10</v>
      </c>
      <c r="H3192" t="str">
        <f>"0  "</f>
        <v xml:space="preserve">0  </v>
      </c>
      <c r="I3192" t="str">
        <f>"2020/09/18"</f>
        <v>2020/09/18</v>
      </c>
      <c r="J3192" t="str">
        <f>"420"</f>
        <v>420</v>
      </c>
      <c r="K3192" t="s">
        <v>18</v>
      </c>
      <c r="L3192" t="s">
        <v>18</v>
      </c>
      <c r="M3192" t="s">
        <v>18</v>
      </c>
    </row>
    <row r="3193" spans="1:13" x14ac:dyDescent="0.25">
      <c r="A3193" t="str">
        <f>"00388733"</f>
        <v>00388733</v>
      </c>
      <c r="B3193" t="s">
        <v>1197</v>
      </c>
      <c r="C3193" t="s">
        <v>74</v>
      </c>
      <c r="D3193" t="s">
        <v>15</v>
      </c>
      <c r="E3193" t="s">
        <v>16</v>
      </c>
      <c r="F3193" t="s">
        <v>17</v>
      </c>
      <c r="G3193" t="str">
        <f>"10"</f>
        <v>10</v>
      </c>
      <c r="H3193" t="str">
        <f>"3  "</f>
        <v xml:space="preserve">3  </v>
      </c>
      <c r="I3193" t="str">
        <f>"2020/01/17"</f>
        <v>2020/01/17</v>
      </c>
      <c r="J3193" t="str">
        <f>"502"</f>
        <v>502</v>
      </c>
      <c r="K3193" t="str">
        <f>"20220811"</f>
        <v>20220811</v>
      </c>
      <c r="L3193" t="s">
        <v>18</v>
      </c>
      <c r="M3193" t="str">
        <f>"20130125"</f>
        <v>20130125</v>
      </c>
    </row>
    <row r="3194" spans="1:13" x14ac:dyDescent="0.25">
      <c r="A3194" t="str">
        <f>"00605348"</f>
        <v>00605348</v>
      </c>
      <c r="B3194" t="s">
        <v>1198</v>
      </c>
      <c r="C3194" t="s">
        <v>1199</v>
      </c>
      <c r="D3194" t="s">
        <v>25</v>
      </c>
      <c r="E3194" t="s">
        <v>26</v>
      </c>
      <c r="F3194" t="s">
        <v>17</v>
      </c>
      <c r="G3194" t="str">
        <f>"10"</f>
        <v>10</v>
      </c>
      <c r="H3194" t="str">
        <f>"3  "</f>
        <v xml:space="preserve">3  </v>
      </c>
      <c r="I3194" t="str">
        <f>"2019/01/14"</f>
        <v>2019/01/14</v>
      </c>
      <c r="J3194" t="str">
        <f>"110"</f>
        <v>110</v>
      </c>
      <c r="K3194" t="str">
        <f>"20220803"</f>
        <v>20220803</v>
      </c>
      <c r="L3194" t="s">
        <v>18</v>
      </c>
      <c r="M3194" t="str">
        <f>"20180619"</f>
        <v>20180619</v>
      </c>
    </row>
    <row r="3195" spans="1:13" x14ac:dyDescent="0.25">
      <c r="A3195" t="str">
        <f>"00241736"</f>
        <v>00241736</v>
      </c>
      <c r="B3195" t="s">
        <v>1198</v>
      </c>
      <c r="C3195" t="s">
        <v>488</v>
      </c>
      <c r="D3195" t="s">
        <v>51</v>
      </c>
      <c r="E3195" t="s">
        <v>26</v>
      </c>
      <c r="F3195" t="s">
        <v>17</v>
      </c>
      <c r="G3195" t="str">
        <f>"10"</f>
        <v>10</v>
      </c>
      <c r="H3195" t="str">
        <f>"0  "</f>
        <v xml:space="preserve">0  </v>
      </c>
      <c r="I3195" t="str">
        <f>"2020/05/06"</f>
        <v>2020/05/06</v>
      </c>
      <c r="J3195" t="str">
        <f>"420"</f>
        <v>420</v>
      </c>
      <c r="K3195" t="s">
        <v>18</v>
      </c>
      <c r="L3195" t="s">
        <v>18</v>
      </c>
      <c r="M3195" t="s">
        <v>18</v>
      </c>
    </row>
    <row r="3196" spans="1:13" x14ac:dyDescent="0.25">
      <c r="A3196" t="str">
        <f>"00386643"</f>
        <v>00386643</v>
      </c>
      <c r="B3196" t="s">
        <v>1201</v>
      </c>
      <c r="C3196" t="s">
        <v>974</v>
      </c>
      <c r="D3196" t="s">
        <v>16</v>
      </c>
      <c r="E3196" t="s">
        <v>16</v>
      </c>
      <c r="F3196" t="s">
        <v>17</v>
      </c>
      <c r="G3196" t="str">
        <f>"10"</f>
        <v>10</v>
      </c>
      <c r="H3196" t="str">
        <f>"0  "</f>
        <v xml:space="preserve">0  </v>
      </c>
      <c r="I3196" t="str">
        <f>"2019/09/12"</f>
        <v>2019/09/12</v>
      </c>
      <c r="J3196" t="str">
        <f>"420"</f>
        <v>420</v>
      </c>
      <c r="K3196" t="s">
        <v>18</v>
      </c>
      <c r="L3196" t="s">
        <v>18</v>
      </c>
      <c r="M3196" t="s">
        <v>18</v>
      </c>
    </row>
    <row r="3197" spans="1:13" x14ac:dyDescent="0.25">
      <c r="A3197" t="str">
        <f>"00850431"</f>
        <v>00850431</v>
      </c>
      <c r="B3197" t="s">
        <v>1203</v>
      </c>
      <c r="C3197" t="s">
        <v>1204</v>
      </c>
      <c r="D3197" t="s">
        <v>73</v>
      </c>
      <c r="E3197" t="s">
        <v>26</v>
      </c>
      <c r="F3197" t="s">
        <v>17</v>
      </c>
      <c r="G3197" t="str">
        <f>"10"</f>
        <v>10</v>
      </c>
      <c r="H3197" t="str">
        <f>"0  "</f>
        <v xml:space="preserve">0  </v>
      </c>
      <c r="I3197" t="str">
        <f>"2020/01/12"</f>
        <v>2020/01/12</v>
      </c>
      <c r="J3197" t="str">
        <f>"420"</f>
        <v>420</v>
      </c>
      <c r="K3197" t="s">
        <v>18</v>
      </c>
      <c r="L3197" t="s">
        <v>18</v>
      </c>
      <c r="M3197" t="s">
        <v>18</v>
      </c>
    </row>
    <row r="3198" spans="1:13" x14ac:dyDescent="0.25">
      <c r="A3198" t="str">
        <f>"00310792"</f>
        <v>00310792</v>
      </c>
      <c r="B3198" t="s">
        <v>1205</v>
      </c>
      <c r="C3198" t="s">
        <v>1207</v>
      </c>
      <c r="D3198" t="s">
        <v>61</v>
      </c>
      <c r="E3198" t="s">
        <v>26</v>
      </c>
      <c r="F3198" t="s">
        <v>17</v>
      </c>
      <c r="G3198" t="str">
        <f>"10"</f>
        <v>10</v>
      </c>
      <c r="H3198" t="str">
        <f>"3  "</f>
        <v xml:space="preserve">3  </v>
      </c>
      <c r="I3198" t="str">
        <f>"2019/10/14"</f>
        <v>2019/10/14</v>
      </c>
      <c r="J3198" t="str">
        <f>"502"</f>
        <v>502</v>
      </c>
      <c r="K3198" t="str">
        <f>"20210612"</f>
        <v>20210612</v>
      </c>
      <c r="L3198" t="s">
        <v>18</v>
      </c>
      <c r="M3198" t="str">
        <f>"20160717"</f>
        <v>20160717</v>
      </c>
    </row>
    <row r="3199" spans="1:13" x14ac:dyDescent="0.25">
      <c r="A3199" t="str">
        <f>"00768943"</f>
        <v>00768943</v>
      </c>
      <c r="B3199" t="s">
        <v>1216</v>
      </c>
      <c r="C3199" t="s">
        <v>1219</v>
      </c>
      <c r="D3199" t="s">
        <v>25</v>
      </c>
      <c r="E3199" t="s">
        <v>26</v>
      </c>
      <c r="F3199" t="s">
        <v>17</v>
      </c>
      <c r="G3199" t="str">
        <f>"10"</f>
        <v>10</v>
      </c>
      <c r="H3199" t="str">
        <f>"0  "</f>
        <v xml:space="preserve">0  </v>
      </c>
      <c r="I3199" t="str">
        <f>"2020/08/18"</f>
        <v>2020/08/18</v>
      </c>
      <c r="J3199" t="str">
        <f>"420"</f>
        <v>420</v>
      </c>
      <c r="K3199" t="s">
        <v>18</v>
      </c>
      <c r="L3199" t="s">
        <v>18</v>
      </c>
      <c r="M3199" t="s">
        <v>18</v>
      </c>
    </row>
    <row r="3200" spans="1:13" x14ac:dyDescent="0.25">
      <c r="A3200" t="str">
        <f>"00531508"</f>
        <v>00531508</v>
      </c>
      <c r="B3200" t="s">
        <v>1221</v>
      </c>
      <c r="C3200" t="s">
        <v>99</v>
      </c>
      <c r="D3200" t="s">
        <v>25</v>
      </c>
      <c r="E3200" t="s">
        <v>26</v>
      </c>
      <c r="F3200" t="s">
        <v>17</v>
      </c>
      <c r="G3200" t="str">
        <f>"10"</f>
        <v>10</v>
      </c>
      <c r="H3200" t="str">
        <f>"1  "</f>
        <v xml:space="preserve">1  </v>
      </c>
      <c r="I3200" t="str">
        <f>"2019/12/19"</f>
        <v>2019/12/19</v>
      </c>
      <c r="J3200" t="str">
        <f>"110"</f>
        <v>110</v>
      </c>
      <c r="K3200" t="str">
        <f>"20200926"</f>
        <v>20200926</v>
      </c>
      <c r="L3200" t="s">
        <v>18</v>
      </c>
      <c r="M3200" t="str">
        <f>"20191109"</f>
        <v>20191109</v>
      </c>
    </row>
    <row r="3201" spans="1:13" x14ac:dyDescent="0.25">
      <c r="A3201" t="str">
        <f>"00480410"</f>
        <v>00480410</v>
      </c>
      <c r="B3201" t="s">
        <v>1221</v>
      </c>
      <c r="C3201" t="s">
        <v>1223</v>
      </c>
      <c r="D3201" t="s">
        <v>53</v>
      </c>
      <c r="E3201" t="s">
        <v>26</v>
      </c>
      <c r="F3201" t="s">
        <v>17</v>
      </c>
      <c r="G3201" t="str">
        <f>"10"</f>
        <v>10</v>
      </c>
      <c r="H3201" t="str">
        <f>"1  "</f>
        <v xml:space="preserve">1  </v>
      </c>
      <c r="I3201" t="str">
        <f>"2020/09/09"</f>
        <v>2020/09/09</v>
      </c>
      <c r="J3201" t="str">
        <f>"539"</f>
        <v>539</v>
      </c>
      <c r="K3201" t="str">
        <f>"20210224"</f>
        <v>20210224</v>
      </c>
      <c r="L3201" t="s">
        <v>18</v>
      </c>
      <c r="M3201" t="str">
        <f>"20200909"</f>
        <v>20200909</v>
      </c>
    </row>
    <row r="3202" spans="1:13" x14ac:dyDescent="0.25">
      <c r="A3202" t="str">
        <f>"00363464"</f>
        <v>00363464</v>
      </c>
      <c r="B3202" t="s">
        <v>1228</v>
      </c>
      <c r="C3202" t="s">
        <v>1229</v>
      </c>
      <c r="D3202" t="s">
        <v>53</v>
      </c>
      <c r="E3202" t="s">
        <v>26</v>
      </c>
      <c r="F3202" t="s">
        <v>17</v>
      </c>
      <c r="G3202" t="str">
        <f>"10"</f>
        <v>10</v>
      </c>
      <c r="H3202" t="str">
        <f>"3  "</f>
        <v xml:space="preserve">3  </v>
      </c>
      <c r="I3202" t="str">
        <f>"2020/08/14"</f>
        <v>2020/08/14</v>
      </c>
      <c r="J3202" t="str">
        <f>"110"</f>
        <v>110</v>
      </c>
      <c r="K3202" t="str">
        <f>"20290716"</f>
        <v>20290716</v>
      </c>
      <c r="L3202" t="s">
        <v>18</v>
      </c>
      <c r="M3202" t="str">
        <f>"20190419"</f>
        <v>20190419</v>
      </c>
    </row>
    <row r="3203" spans="1:13" x14ac:dyDescent="0.25">
      <c r="A3203" t="str">
        <f>"00536346"</f>
        <v>00536346</v>
      </c>
      <c r="B3203" t="s">
        <v>1236</v>
      </c>
      <c r="C3203" t="s">
        <v>22</v>
      </c>
      <c r="D3203" t="s">
        <v>15</v>
      </c>
      <c r="E3203" t="s">
        <v>16</v>
      </c>
      <c r="F3203" t="s">
        <v>17</v>
      </c>
      <c r="G3203" t="str">
        <f>"10"</f>
        <v>10</v>
      </c>
      <c r="H3203" t="str">
        <f>"0  "</f>
        <v xml:space="preserve">0  </v>
      </c>
      <c r="I3203" t="str">
        <f>"2020/09/10"</f>
        <v>2020/09/10</v>
      </c>
      <c r="J3203" t="str">
        <f>"420"</f>
        <v>420</v>
      </c>
      <c r="K3203" t="s">
        <v>18</v>
      </c>
      <c r="L3203" t="s">
        <v>18</v>
      </c>
      <c r="M3203" t="s">
        <v>18</v>
      </c>
    </row>
    <row r="3204" spans="1:13" x14ac:dyDescent="0.25">
      <c r="A3204" t="str">
        <f>"00795650"</f>
        <v>00795650</v>
      </c>
      <c r="B3204" t="s">
        <v>1239</v>
      </c>
      <c r="C3204" t="s">
        <v>1240</v>
      </c>
      <c r="D3204" t="s">
        <v>45</v>
      </c>
      <c r="E3204" t="s">
        <v>26</v>
      </c>
      <c r="F3204" t="s">
        <v>17</v>
      </c>
      <c r="G3204" t="str">
        <f>"10"</f>
        <v>10</v>
      </c>
      <c r="H3204" t="str">
        <f>"0  "</f>
        <v xml:space="preserve">0  </v>
      </c>
      <c r="I3204" t="str">
        <f>"2020/08/03"</f>
        <v>2020/08/03</v>
      </c>
      <c r="J3204" t="str">
        <f>"512"</f>
        <v>512</v>
      </c>
      <c r="K3204" t="s">
        <v>18</v>
      </c>
      <c r="L3204" t="s">
        <v>18</v>
      </c>
      <c r="M3204" t="s">
        <v>18</v>
      </c>
    </row>
    <row r="3205" spans="1:13" x14ac:dyDescent="0.25">
      <c r="A3205" t="str">
        <f>"00595358"</f>
        <v>00595358</v>
      </c>
      <c r="B3205" t="s">
        <v>1244</v>
      </c>
      <c r="C3205" t="s">
        <v>1245</v>
      </c>
      <c r="D3205" t="s">
        <v>1212</v>
      </c>
      <c r="E3205" t="s">
        <v>26</v>
      </c>
      <c r="F3205" t="s">
        <v>17</v>
      </c>
      <c r="G3205" t="str">
        <f>"10"</f>
        <v>10</v>
      </c>
      <c r="H3205" t="str">
        <f>"3  "</f>
        <v xml:space="preserve">3  </v>
      </c>
      <c r="I3205" t="str">
        <f>"2016/10/11"</f>
        <v>2016/10/11</v>
      </c>
      <c r="J3205" t="str">
        <f>"110"</f>
        <v>110</v>
      </c>
      <c r="K3205" t="str">
        <f>"20210625"</f>
        <v>20210625</v>
      </c>
      <c r="L3205" t="s">
        <v>18</v>
      </c>
      <c r="M3205" t="str">
        <f>"20150715"</f>
        <v>20150715</v>
      </c>
    </row>
    <row r="3206" spans="1:13" x14ac:dyDescent="0.25">
      <c r="A3206" t="str">
        <f>"00223937"</f>
        <v>00223937</v>
      </c>
      <c r="B3206" t="s">
        <v>1251</v>
      </c>
      <c r="C3206" t="s">
        <v>1253</v>
      </c>
      <c r="D3206" t="s">
        <v>51</v>
      </c>
      <c r="E3206" t="s">
        <v>26</v>
      </c>
      <c r="F3206" t="s">
        <v>17</v>
      </c>
      <c r="G3206" t="str">
        <f>"10"</f>
        <v>10</v>
      </c>
      <c r="H3206" t="str">
        <f>"3  "</f>
        <v xml:space="preserve">3  </v>
      </c>
      <c r="I3206" t="str">
        <f>"2017/08/18"</f>
        <v>2017/08/18</v>
      </c>
      <c r="J3206" t="str">
        <f>"110"</f>
        <v>110</v>
      </c>
      <c r="K3206" t="str">
        <f>"20210902"</f>
        <v>20210902</v>
      </c>
      <c r="L3206" t="s">
        <v>18</v>
      </c>
      <c r="M3206" t="str">
        <f>"20170625"</f>
        <v>20170625</v>
      </c>
    </row>
    <row r="3207" spans="1:13" x14ac:dyDescent="0.25">
      <c r="A3207" t="str">
        <f>"00759637"</f>
        <v>00759637</v>
      </c>
      <c r="B3207" t="s">
        <v>1256</v>
      </c>
      <c r="C3207" t="s">
        <v>165</v>
      </c>
      <c r="D3207" t="s">
        <v>21</v>
      </c>
      <c r="E3207" t="s">
        <v>16</v>
      </c>
      <c r="F3207" t="s">
        <v>17</v>
      </c>
      <c r="G3207" t="str">
        <f>"10"</f>
        <v>10</v>
      </c>
      <c r="H3207" t="str">
        <f>"0  "</f>
        <v xml:space="preserve">0  </v>
      </c>
      <c r="I3207" t="str">
        <f>"2020/02/27"</f>
        <v>2020/02/27</v>
      </c>
      <c r="J3207" t="str">
        <f>"420"</f>
        <v>420</v>
      </c>
      <c r="K3207" t="s">
        <v>18</v>
      </c>
      <c r="L3207" t="s">
        <v>18</v>
      </c>
      <c r="M3207" t="s">
        <v>18</v>
      </c>
    </row>
    <row r="3208" spans="1:13" x14ac:dyDescent="0.25">
      <c r="A3208" t="str">
        <f>"00471875"</f>
        <v>00471875</v>
      </c>
      <c r="B3208" t="s">
        <v>1262</v>
      </c>
      <c r="C3208" t="s">
        <v>432</v>
      </c>
      <c r="D3208" t="s">
        <v>61</v>
      </c>
      <c r="E3208" t="s">
        <v>16</v>
      </c>
      <c r="F3208" t="s">
        <v>17</v>
      </c>
      <c r="G3208" t="str">
        <f>"10"</f>
        <v>10</v>
      </c>
      <c r="H3208" t="str">
        <f>"1  "</f>
        <v xml:space="preserve">1  </v>
      </c>
      <c r="I3208" t="str">
        <f>"2020/08/11"</f>
        <v>2020/08/11</v>
      </c>
      <c r="J3208" t="str">
        <f>"120"</f>
        <v>120</v>
      </c>
      <c r="K3208" t="str">
        <f>"20210105"</f>
        <v>20210105</v>
      </c>
      <c r="L3208" t="s">
        <v>18</v>
      </c>
      <c r="M3208" t="str">
        <f>"20200722"</f>
        <v>20200722</v>
      </c>
    </row>
    <row r="3209" spans="1:13" x14ac:dyDescent="0.25">
      <c r="A3209" t="str">
        <f>"00618107"</f>
        <v>00618107</v>
      </c>
      <c r="B3209" t="s">
        <v>1268</v>
      </c>
      <c r="C3209" t="s">
        <v>1269</v>
      </c>
      <c r="D3209" t="s">
        <v>61</v>
      </c>
      <c r="E3209" t="s">
        <v>26</v>
      </c>
      <c r="F3209" t="s">
        <v>17</v>
      </c>
      <c r="G3209" t="str">
        <f>"10"</f>
        <v>10</v>
      </c>
      <c r="H3209" t="str">
        <f>"3  "</f>
        <v xml:space="preserve">3  </v>
      </c>
      <c r="I3209" t="str">
        <f>"2017/10/30"</f>
        <v>2017/10/30</v>
      </c>
      <c r="J3209" t="str">
        <f>"110"</f>
        <v>110</v>
      </c>
      <c r="K3209" t="str">
        <f>"20210603"</f>
        <v>20210603</v>
      </c>
      <c r="L3209" t="s">
        <v>18</v>
      </c>
      <c r="M3209" t="str">
        <f>"20170425"</f>
        <v>20170425</v>
      </c>
    </row>
    <row r="3210" spans="1:13" x14ac:dyDescent="0.25">
      <c r="A3210" t="str">
        <f>"00359844"</f>
        <v>00359844</v>
      </c>
      <c r="B3210" t="s">
        <v>1268</v>
      </c>
      <c r="C3210" t="s">
        <v>446</v>
      </c>
      <c r="D3210" t="s">
        <v>121</v>
      </c>
      <c r="E3210" t="s">
        <v>26</v>
      </c>
      <c r="F3210" t="s">
        <v>17</v>
      </c>
      <c r="G3210" t="str">
        <f>"10"</f>
        <v>10</v>
      </c>
      <c r="H3210" t="str">
        <f>"3  "</f>
        <v xml:space="preserve">3  </v>
      </c>
      <c r="I3210" t="str">
        <f>"2018/01/11"</f>
        <v>2018/01/11</v>
      </c>
      <c r="J3210" t="str">
        <f>"110"</f>
        <v>110</v>
      </c>
      <c r="K3210" t="str">
        <f>"20211119"</f>
        <v>20211119</v>
      </c>
      <c r="L3210" t="s">
        <v>18</v>
      </c>
      <c r="M3210" t="str">
        <f>"20170908"</f>
        <v>20170908</v>
      </c>
    </row>
    <row r="3211" spans="1:13" x14ac:dyDescent="0.25">
      <c r="A3211" t="str">
        <f>"00716388"</f>
        <v>00716388</v>
      </c>
      <c r="B3211" t="s">
        <v>1268</v>
      </c>
      <c r="C3211" t="s">
        <v>1155</v>
      </c>
      <c r="D3211" t="s">
        <v>31</v>
      </c>
      <c r="E3211" t="s">
        <v>26</v>
      </c>
      <c r="F3211" t="s">
        <v>17</v>
      </c>
      <c r="G3211" t="str">
        <f>"10"</f>
        <v>10</v>
      </c>
      <c r="H3211" t="str">
        <f>"3  "</f>
        <v xml:space="preserve">3  </v>
      </c>
      <c r="I3211" t="str">
        <f>"2018/01/02"</f>
        <v>2018/01/02</v>
      </c>
      <c r="J3211" t="str">
        <f>"110"</f>
        <v>110</v>
      </c>
      <c r="K3211" t="str">
        <f>"20220504"</f>
        <v>20220504</v>
      </c>
      <c r="L3211" t="s">
        <v>18</v>
      </c>
      <c r="M3211" t="str">
        <f>"20180102"</f>
        <v>20180102</v>
      </c>
    </row>
    <row r="3212" spans="1:13" x14ac:dyDescent="0.25">
      <c r="A3212" t="str">
        <f>"00569739"</f>
        <v>00569739</v>
      </c>
      <c r="B3212" t="s">
        <v>1272</v>
      </c>
      <c r="C3212" t="s">
        <v>1273</v>
      </c>
      <c r="D3212" t="s">
        <v>25</v>
      </c>
      <c r="E3212" t="s">
        <v>26</v>
      </c>
      <c r="F3212" t="s">
        <v>17</v>
      </c>
      <c r="G3212" t="str">
        <f>"10"</f>
        <v>10</v>
      </c>
      <c r="H3212" t="str">
        <f>"1  "</f>
        <v xml:space="preserve">1  </v>
      </c>
      <c r="I3212" t="str">
        <f>"2019/11/26"</f>
        <v>2019/11/26</v>
      </c>
      <c r="J3212" t="str">
        <f>"110"</f>
        <v>110</v>
      </c>
      <c r="K3212" t="str">
        <f>"20201020"</f>
        <v>20201020</v>
      </c>
      <c r="L3212" t="s">
        <v>18</v>
      </c>
      <c r="M3212" t="str">
        <f>"20191124"</f>
        <v>20191124</v>
      </c>
    </row>
    <row r="3213" spans="1:13" x14ac:dyDescent="0.25">
      <c r="A3213" t="str">
        <f>"00647031"</f>
        <v>00647031</v>
      </c>
      <c r="B3213" t="s">
        <v>1274</v>
      </c>
      <c r="C3213" t="s">
        <v>1275</v>
      </c>
      <c r="D3213" t="s">
        <v>40</v>
      </c>
      <c r="E3213" t="s">
        <v>16</v>
      </c>
      <c r="F3213" t="s">
        <v>17</v>
      </c>
      <c r="G3213" t="str">
        <f>"10"</f>
        <v>10</v>
      </c>
      <c r="H3213" t="str">
        <f>"3  "</f>
        <v xml:space="preserve">3  </v>
      </c>
      <c r="I3213" t="str">
        <f>"2019/11/08"</f>
        <v>2019/11/08</v>
      </c>
      <c r="J3213" t="str">
        <f>"506"</f>
        <v>506</v>
      </c>
      <c r="K3213" t="str">
        <f>"20210606"</f>
        <v>20210606</v>
      </c>
      <c r="L3213" t="s">
        <v>18</v>
      </c>
      <c r="M3213" t="str">
        <f>"20191015"</f>
        <v>20191015</v>
      </c>
    </row>
    <row r="3214" spans="1:13" x14ac:dyDescent="0.25">
      <c r="A3214" t="str">
        <f>"00398111"</f>
        <v>00398111</v>
      </c>
      <c r="B3214" t="s">
        <v>1278</v>
      </c>
      <c r="C3214" t="s">
        <v>503</v>
      </c>
      <c r="D3214" t="s">
        <v>51</v>
      </c>
      <c r="E3214" t="s">
        <v>26</v>
      </c>
      <c r="F3214" t="s">
        <v>17</v>
      </c>
      <c r="G3214" t="str">
        <f>"10"</f>
        <v>10</v>
      </c>
      <c r="H3214" t="str">
        <f>"3  "</f>
        <v xml:space="preserve">3  </v>
      </c>
      <c r="I3214" t="str">
        <f>"2020/08/31"</f>
        <v>2020/08/31</v>
      </c>
      <c r="J3214" t="str">
        <f>"110"</f>
        <v>110</v>
      </c>
      <c r="K3214" t="str">
        <f>"20201212"</f>
        <v>20201212</v>
      </c>
      <c r="L3214" t="s">
        <v>18</v>
      </c>
      <c r="M3214" t="str">
        <f>"20061018"</f>
        <v>20061018</v>
      </c>
    </row>
    <row r="3215" spans="1:13" x14ac:dyDescent="0.25">
      <c r="A3215" t="str">
        <f>"00887821"</f>
        <v>00887821</v>
      </c>
      <c r="B3215" t="s">
        <v>1278</v>
      </c>
      <c r="C3215" t="s">
        <v>1279</v>
      </c>
      <c r="D3215" t="s">
        <v>40</v>
      </c>
      <c r="E3215" t="s">
        <v>26</v>
      </c>
      <c r="F3215" t="s">
        <v>17</v>
      </c>
      <c r="G3215" t="str">
        <f>"10"</f>
        <v>10</v>
      </c>
      <c r="H3215" t="str">
        <f>"3  "</f>
        <v xml:space="preserve">3  </v>
      </c>
      <c r="I3215" t="str">
        <f>"2019/10/01"</f>
        <v>2019/10/01</v>
      </c>
      <c r="J3215" t="str">
        <f>"503"</f>
        <v>503</v>
      </c>
      <c r="K3215" t="str">
        <f>"20220911"</f>
        <v>20220911</v>
      </c>
      <c r="L3215" t="s">
        <v>18</v>
      </c>
      <c r="M3215" t="str">
        <f>"20180605"</f>
        <v>20180605</v>
      </c>
    </row>
    <row r="3216" spans="1:13" x14ac:dyDescent="0.25">
      <c r="A3216" t="str">
        <f>"00750258"</f>
        <v>00750258</v>
      </c>
      <c r="B3216" t="s">
        <v>1278</v>
      </c>
      <c r="C3216" t="s">
        <v>1280</v>
      </c>
      <c r="D3216" t="s">
        <v>25</v>
      </c>
      <c r="E3216" t="s">
        <v>26</v>
      </c>
      <c r="F3216" t="s">
        <v>17</v>
      </c>
      <c r="G3216" t="str">
        <f>"10"</f>
        <v>10</v>
      </c>
      <c r="H3216" t="str">
        <f>"1  "</f>
        <v xml:space="preserve">1  </v>
      </c>
      <c r="I3216" t="str">
        <f>"2020/09/22"</f>
        <v>2020/09/22</v>
      </c>
      <c r="J3216" t="str">
        <f>"120"</f>
        <v>120</v>
      </c>
      <c r="K3216" t="str">
        <f>"20201004"</f>
        <v>20201004</v>
      </c>
      <c r="L3216" t="s">
        <v>18</v>
      </c>
      <c r="M3216" t="str">
        <f>"20200907"</f>
        <v>20200907</v>
      </c>
    </row>
    <row r="3217" spans="1:13" x14ac:dyDescent="0.25">
      <c r="A3217" t="str">
        <f>"00759863"</f>
        <v>00759863</v>
      </c>
      <c r="B3217" t="s">
        <v>1281</v>
      </c>
      <c r="C3217" t="s">
        <v>1282</v>
      </c>
      <c r="D3217" t="s">
        <v>37</v>
      </c>
      <c r="E3217" t="s">
        <v>26</v>
      </c>
      <c r="F3217" t="s">
        <v>17</v>
      </c>
      <c r="G3217" t="str">
        <f>"10"</f>
        <v>10</v>
      </c>
      <c r="H3217" t="str">
        <f>"0  "</f>
        <v xml:space="preserve">0  </v>
      </c>
      <c r="I3217" t="str">
        <f>"2020/09/02"</f>
        <v>2020/09/02</v>
      </c>
      <c r="J3217" t="str">
        <f>"420"</f>
        <v>420</v>
      </c>
      <c r="K3217" t="s">
        <v>18</v>
      </c>
      <c r="L3217" t="s">
        <v>18</v>
      </c>
      <c r="M3217" t="s">
        <v>18</v>
      </c>
    </row>
    <row r="3218" spans="1:13" x14ac:dyDescent="0.25">
      <c r="A3218" t="str">
        <f>"00356707"</f>
        <v>00356707</v>
      </c>
      <c r="B3218" t="s">
        <v>1293</v>
      </c>
      <c r="C3218" t="s">
        <v>14</v>
      </c>
      <c r="D3218" t="s">
        <v>21</v>
      </c>
      <c r="E3218" t="s">
        <v>26</v>
      </c>
      <c r="F3218" t="s">
        <v>17</v>
      </c>
      <c r="G3218" t="str">
        <f>"10"</f>
        <v>10</v>
      </c>
      <c r="H3218" t="str">
        <f>"3  "</f>
        <v xml:space="preserve">3  </v>
      </c>
      <c r="I3218" t="str">
        <f>"2019/03/31"</f>
        <v>2019/03/31</v>
      </c>
      <c r="J3218" t="str">
        <f>"110"</f>
        <v>110</v>
      </c>
      <c r="K3218" t="str">
        <f>"20220314"</f>
        <v>20220314</v>
      </c>
      <c r="L3218" t="s">
        <v>18</v>
      </c>
      <c r="M3218" t="str">
        <f>"20180721"</f>
        <v>20180721</v>
      </c>
    </row>
    <row r="3219" spans="1:13" x14ac:dyDescent="0.25">
      <c r="A3219" t="str">
        <f>"00432596"</f>
        <v>00432596</v>
      </c>
      <c r="B3219" t="s">
        <v>1295</v>
      </c>
      <c r="C3219" t="s">
        <v>1296</v>
      </c>
      <c r="D3219" t="s">
        <v>25</v>
      </c>
      <c r="E3219" t="s">
        <v>16</v>
      </c>
      <c r="F3219" t="s">
        <v>17</v>
      </c>
      <c r="G3219" t="str">
        <f>"10"</f>
        <v>10</v>
      </c>
      <c r="H3219" t="str">
        <f>"1  "</f>
        <v xml:space="preserve">1  </v>
      </c>
      <c r="I3219" t="str">
        <f>"2020/07/30"</f>
        <v>2020/07/30</v>
      </c>
      <c r="J3219" t="str">
        <f>"110"</f>
        <v>110</v>
      </c>
      <c r="K3219" t="str">
        <f>"20201002"</f>
        <v>20201002</v>
      </c>
      <c r="L3219" t="s">
        <v>18</v>
      </c>
      <c r="M3219" t="str">
        <f>"20200121"</f>
        <v>20200121</v>
      </c>
    </row>
    <row r="3220" spans="1:13" x14ac:dyDescent="0.25">
      <c r="A3220" t="str">
        <f>"00659392"</f>
        <v>00659392</v>
      </c>
      <c r="B3220" t="s">
        <v>1302</v>
      </c>
      <c r="C3220" t="s">
        <v>1303</v>
      </c>
      <c r="D3220" t="s">
        <v>15</v>
      </c>
      <c r="E3220" t="s">
        <v>26</v>
      </c>
      <c r="F3220" t="s">
        <v>17</v>
      </c>
      <c r="G3220" t="str">
        <f>"10"</f>
        <v>10</v>
      </c>
      <c r="H3220" t="str">
        <f>"1  "</f>
        <v xml:space="preserve">1  </v>
      </c>
      <c r="I3220" t="str">
        <f>"2020/03/11"</f>
        <v>2020/03/11</v>
      </c>
      <c r="J3220" t="str">
        <f>"120"</f>
        <v>120</v>
      </c>
      <c r="K3220" t="str">
        <f>"20210127"</f>
        <v>20210127</v>
      </c>
      <c r="L3220" t="s">
        <v>18</v>
      </c>
      <c r="M3220" t="str">
        <f>"20200303"</f>
        <v>20200303</v>
      </c>
    </row>
    <row r="3221" spans="1:13" x14ac:dyDescent="0.25">
      <c r="A3221" t="str">
        <f>"00168580"</f>
        <v>00168580</v>
      </c>
      <c r="B3221" t="s">
        <v>1307</v>
      </c>
      <c r="C3221" t="s">
        <v>772</v>
      </c>
      <c r="D3221" t="s">
        <v>45</v>
      </c>
      <c r="E3221" t="s">
        <v>16</v>
      </c>
      <c r="F3221" t="s">
        <v>17</v>
      </c>
      <c r="G3221" t="str">
        <f>"10"</f>
        <v>10</v>
      </c>
      <c r="H3221" t="str">
        <f>"3  "</f>
        <v xml:space="preserve">3  </v>
      </c>
      <c r="I3221" t="str">
        <f>"2020/01/15"</f>
        <v>2020/01/15</v>
      </c>
      <c r="J3221" t="str">
        <f>"110"</f>
        <v>110</v>
      </c>
      <c r="K3221" t="str">
        <f>"20220206"</f>
        <v>20220206</v>
      </c>
      <c r="L3221" t="s">
        <v>18</v>
      </c>
      <c r="M3221" t="str">
        <f>"20191128"</f>
        <v>20191128</v>
      </c>
    </row>
    <row r="3222" spans="1:13" x14ac:dyDescent="0.25">
      <c r="A3222" t="str">
        <f>"00898239"</f>
        <v>00898239</v>
      </c>
      <c r="B3222" t="s">
        <v>1317</v>
      </c>
      <c r="C3222" t="s">
        <v>148</v>
      </c>
      <c r="D3222" t="s">
        <v>21</v>
      </c>
      <c r="E3222" t="s">
        <v>16</v>
      </c>
      <c r="F3222" t="s">
        <v>17</v>
      </c>
      <c r="G3222" t="str">
        <f>"10"</f>
        <v>10</v>
      </c>
      <c r="H3222" t="str">
        <f>"1  "</f>
        <v xml:space="preserve">1  </v>
      </c>
      <c r="I3222" t="str">
        <f>"2020/07/09"</f>
        <v>2020/07/09</v>
      </c>
      <c r="J3222" t="str">
        <f>"110"</f>
        <v>110</v>
      </c>
      <c r="K3222" t="str">
        <f>"20200924"</f>
        <v>20200924</v>
      </c>
      <c r="L3222" t="s">
        <v>18</v>
      </c>
      <c r="M3222" t="str">
        <f>"20200709"</f>
        <v>20200709</v>
      </c>
    </row>
    <row r="3223" spans="1:13" x14ac:dyDescent="0.25">
      <c r="A3223" t="str">
        <f>"00757571"</f>
        <v>00757571</v>
      </c>
      <c r="B3223" t="s">
        <v>1318</v>
      </c>
      <c r="C3223" t="s">
        <v>1319</v>
      </c>
      <c r="D3223" t="s">
        <v>31</v>
      </c>
      <c r="E3223" t="s">
        <v>26</v>
      </c>
      <c r="F3223" t="s">
        <v>17</v>
      </c>
      <c r="G3223" t="str">
        <f>"10"</f>
        <v>10</v>
      </c>
      <c r="H3223" t="str">
        <f>"0  "</f>
        <v xml:space="preserve">0  </v>
      </c>
      <c r="I3223" t="str">
        <f>"2020/08/27"</f>
        <v>2020/08/27</v>
      </c>
      <c r="J3223" t="str">
        <f>"420"</f>
        <v>420</v>
      </c>
      <c r="K3223" t="s">
        <v>18</v>
      </c>
      <c r="L3223" t="s">
        <v>18</v>
      </c>
      <c r="M3223" t="s">
        <v>18</v>
      </c>
    </row>
    <row r="3224" spans="1:13" x14ac:dyDescent="0.25">
      <c r="A3224" t="str">
        <f>"00423868"</f>
        <v>00423868</v>
      </c>
      <c r="B3224" t="s">
        <v>1324</v>
      </c>
      <c r="C3224" t="s">
        <v>118</v>
      </c>
      <c r="D3224" t="s">
        <v>80</v>
      </c>
      <c r="E3224" t="s">
        <v>16</v>
      </c>
      <c r="F3224" t="s">
        <v>17</v>
      </c>
      <c r="G3224" t="str">
        <f>"10"</f>
        <v>10</v>
      </c>
      <c r="H3224" t="str">
        <f>"0  "</f>
        <v xml:space="preserve">0  </v>
      </c>
      <c r="I3224" t="str">
        <f>"2020/07/23"</f>
        <v>2020/07/23</v>
      </c>
      <c r="J3224" t="str">
        <f>"420"</f>
        <v>420</v>
      </c>
      <c r="K3224" t="s">
        <v>18</v>
      </c>
      <c r="L3224" t="s">
        <v>18</v>
      </c>
      <c r="M3224" t="s">
        <v>18</v>
      </c>
    </row>
    <row r="3225" spans="1:13" x14ac:dyDescent="0.25">
      <c r="A3225" t="str">
        <f>"00180136"</f>
        <v>00180136</v>
      </c>
      <c r="B3225" t="s">
        <v>1325</v>
      </c>
      <c r="C3225" t="s">
        <v>1326</v>
      </c>
      <c r="D3225" t="s">
        <v>51</v>
      </c>
      <c r="E3225" t="s">
        <v>16</v>
      </c>
      <c r="F3225" t="s">
        <v>17</v>
      </c>
      <c r="G3225" t="str">
        <f>"10"</f>
        <v>10</v>
      </c>
      <c r="H3225" t="str">
        <f>"3  "</f>
        <v xml:space="preserve">3  </v>
      </c>
      <c r="I3225" t="str">
        <f>"2019/09/27"</f>
        <v>2019/09/27</v>
      </c>
      <c r="J3225" t="str">
        <f>"110"</f>
        <v>110</v>
      </c>
      <c r="K3225" t="str">
        <f>"20210322"</f>
        <v>20210322</v>
      </c>
      <c r="L3225" t="s">
        <v>18</v>
      </c>
      <c r="M3225" t="str">
        <f>"20190217"</f>
        <v>20190217</v>
      </c>
    </row>
    <row r="3226" spans="1:13" x14ac:dyDescent="0.25">
      <c r="A3226" t="str">
        <f>"00875986"</f>
        <v>00875986</v>
      </c>
      <c r="B3226" t="s">
        <v>1327</v>
      </c>
      <c r="C3226" t="s">
        <v>148</v>
      </c>
      <c r="D3226" t="s">
        <v>53</v>
      </c>
      <c r="E3226" t="s">
        <v>26</v>
      </c>
      <c r="F3226" t="s">
        <v>17</v>
      </c>
      <c r="G3226" t="str">
        <f>"10"</f>
        <v>10</v>
      </c>
      <c r="H3226" t="str">
        <f>"3  "</f>
        <v xml:space="preserve">3  </v>
      </c>
      <c r="I3226" t="str">
        <f>"2019/03/08"</f>
        <v>2019/03/08</v>
      </c>
      <c r="J3226" t="str">
        <f>"110"</f>
        <v>110</v>
      </c>
      <c r="K3226" t="str">
        <f>"20210825"</f>
        <v>20210825</v>
      </c>
      <c r="L3226" t="s">
        <v>18</v>
      </c>
      <c r="M3226" t="str">
        <f>"20180313"</f>
        <v>20180313</v>
      </c>
    </row>
    <row r="3227" spans="1:13" x14ac:dyDescent="0.25">
      <c r="A3227" t="str">
        <f>"00302374"</f>
        <v>00302374</v>
      </c>
      <c r="B3227" t="s">
        <v>1328</v>
      </c>
      <c r="C3227" t="s">
        <v>599</v>
      </c>
      <c r="D3227" t="s">
        <v>25</v>
      </c>
      <c r="E3227" t="s">
        <v>26</v>
      </c>
      <c r="F3227" t="s">
        <v>17</v>
      </c>
      <c r="G3227" t="str">
        <f>"10"</f>
        <v>10</v>
      </c>
      <c r="H3227" t="str">
        <f>"3  "</f>
        <v xml:space="preserve">3  </v>
      </c>
      <c r="I3227" t="str">
        <f>"2017/12/09"</f>
        <v>2017/12/09</v>
      </c>
      <c r="J3227" t="str">
        <f>"110"</f>
        <v>110</v>
      </c>
      <c r="K3227" t="str">
        <f>"20220414"</f>
        <v>20220414</v>
      </c>
      <c r="L3227" t="s">
        <v>18</v>
      </c>
      <c r="M3227" t="str">
        <f>"20160413"</f>
        <v>20160413</v>
      </c>
    </row>
    <row r="3228" spans="1:13" x14ac:dyDescent="0.25">
      <c r="A3228" t="str">
        <f>"00721903"</f>
        <v>00721903</v>
      </c>
      <c r="B3228" t="s">
        <v>1329</v>
      </c>
      <c r="C3228" t="s">
        <v>55</v>
      </c>
      <c r="D3228" t="s">
        <v>25</v>
      </c>
      <c r="E3228" t="s">
        <v>26</v>
      </c>
      <c r="F3228" t="s">
        <v>17</v>
      </c>
      <c r="G3228" t="str">
        <f>"10"</f>
        <v>10</v>
      </c>
      <c r="H3228" t="str">
        <f>"3  "</f>
        <v xml:space="preserve">3  </v>
      </c>
      <c r="I3228" t="str">
        <f>"2019/03/26"</f>
        <v>2019/03/26</v>
      </c>
      <c r="J3228" t="str">
        <f>"110"</f>
        <v>110</v>
      </c>
      <c r="K3228" t="str">
        <f>"20230118"</f>
        <v>20230118</v>
      </c>
      <c r="L3228" t="s">
        <v>18</v>
      </c>
      <c r="M3228" t="str">
        <f>"20180919"</f>
        <v>20180919</v>
      </c>
    </row>
    <row r="3229" spans="1:13" x14ac:dyDescent="0.25">
      <c r="A3229" t="str">
        <f>"00241222"</f>
        <v>00241222</v>
      </c>
      <c r="B3229" t="s">
        <v>1332</v>
      </c>
      <c r="C3229" t="s">
        <v>677</v>
      </c>
      <c r="D3229" t="s">
        <v>15</v>
      </c>
      <c r="E3229" t="s">
        <v>16</v>
      </c>
      <c r="F3229" t="s">
        <v>17</v>
      </c>
      <c r="G3229" t="str">
        <f>"10"</f>
        <v>10</v>
      </c>
      <c r="H3229" t="str">
        <f>"0  "</f>
        <v xml:space="preserve">0  </v>
      </c>
      <c r="I3229" t="str">
        <f>"2019/06/22"</f>
        <v>2019/06/22</v>
      </c>
      <c r="J3229" t="str">
        <f>"420"</f>
        <v>420</v>
      </c>
      <c r="K3229" t="s">
        <v>18</v>
      </c>
      <c r="L3229" t="s">
        <v>18</v>
      </c>
      <c r="M3229" t="s">
        <v>18</v>
      </c>
    </row>
    <row r="3230" spans="1:13" x14ac:dyDescent="0.25">
      <c r="A3230" t="str">
        <f>"00115246"</f>
        <v>00115246</v>
      </c>
      <c r="B3230" t="s">
        <v>1343</v>
      </c>
      <c r="C3230" t="s">
        <v>74</v>
      </c>
      <c r="D3230" t="s">
        <v>25</v>
      </c>
      <c r="E3230" t="s">
        <v>16</v>
      </c>
      <c r="F3230" t="s">
        <v>17</v>
      </c>
      <c r="G3230" t="str">
        <f>"10"</f>
        <v>10</v>
      </c>
      <c r="H3230" t="str">
        <f>"3  "</f>
        <v xml:space="preserve">3  </v>
      </c>
      <c r="I3230" t="str">
        <f>"2019/01/18"</f>
        <v>2019/01/18</v>
      </c>
      <c r="J3230" t="str">
        <f>"503"</f>
        <v>503</v>
      </c>
      <c r="K3230" t="str">
        <f>"20210718"</f>
        <v>20210718</v>
      </c>
      <c r="L3230" t="s">
        <v>18</v>
      </c>
      <c r="M3230" t="str">
        <f>"20140107"</f>
        <v>20140107</v>
      </c>
    </row>
    <row r="3231" spans="1:13" x14ac:dyDescent="0.25">
      <c r="A3231" t="str">
        <f>"00415172"</f>
        <v>00415172</v>
      </c>
      <c r="B3231" t="s">
        <v>1344</v>
      </c>
      <c r="C3231" t="s">
        <v>124</v>
      </c>
      <c r="D3231" t="s">
        <v>53</v>
      </c>
      <c r="E3231" t="s">
        <v>26</v>
      </c>
      <c r="F3231" t="s">
        <v>17</v>
      </c>
      <c r="G3231" t="str">
        <f>"10"</f>
        <v>10</v>
      </c>
      <c r="H3231" t="str">
        <f>"1  "</f>
        <v xml:space="preserve">1  </v>
      </c>
      <c r="I3231" t="str">
        <f>"2020/09/15"</f>
        <v>2020/09/15</v>
      </c>
      <c r="J3231" t="str">
        <f>"110"</f>
        <v>110</v>
      </c>
      <c r="K3231" t="str">
        <f>"20201208"</f>
        <v>20201208</v>
      </c>
      <c r="L3231" t="s">
        <v>18</v>
      </c>
      <c r="M3231" t="str">
        <f>"20200915"</f>
        <v>20200915</v>
      </c>
    </row>
    <row r="3232" spans="1:13" x14ac:dyDescent="0.25">
      <c r="A3232" t="str">
        <f>"00401779"</f>
        <v>00401779</v>
      </c>
      <c r="B3232" t="s">
        <v>1345</v>
      </c>
      <c r="C3232" t="s">
        <v>772</v>
      </c>
      <c r="D3232" t="s">
        <v>45</v>
      </c>
      <c r="E3232" t="s">
        <v>26</v>
      </c>
      <c r="F3232" t="s">
        <v>17</v>
      </c>
      <c r="G3232" t="str">
        <f>"10"</f>
        <v>10</v>
      </c>
      <c r="H3232" t="str">
        <f>"3  "</f>
        <v xml:space="preserve">3  </v>
      </c>
      <c r="I3232" t="str">
        <f>"2018/08/27"</f>
        <v>2018/08/27</v>
      </c>
      <c r="J3232" t="str">
        <f>"110"</f>
        <v>110</v>
      </c>
      <c r="K3232" t="str">
        <f>"20220507"</f>
        <v>20220507</v>
      </c>
      <c r="L3232" t="s">
        <v>18</v>
      </c>
      <c r="M3232" t="str">
        <f>"20180125"</f>
        <v>20180125</v>
      </c>
    </row>
    <row r="3233" spans="1:13" x14ac:dyDescent="0.25">
      <c r="A3233" t="str">
        <f>"00783213"</f>
        <v>00783213</v>
      </c>
      <c r="B3233" t="s">
        <v>1346</v>
      </c>
      <c r="C3233" t="s">
        <v>96</v>
      </c>
      <c r="D3233" t="s">
        <v>37</v>
      </c>
      <c r="E3233" t="s">
        <v>26</v>
      </c>
      <c r="F3233" t="s">
        <v>17</v>
      </c>
      <c r="G3233" t="str">
        <f>"10"</f>
        <v>10</v>
      </c>
      <c r="H3233" t="str">
        <f>"0  "</f>
        <v xml:space="preserve">0  </v>
      </c>
      <c r="I3233" t="str">
        <f>"2020/09/01"</f>
        <v>2020/09/01</v>
      </c>
      <c r="J3233" t="str">
        <f>"420"</f>
        <v>420</v>
      </c>
      <c r="K3233" t="s">
        <v>18</v>
      </c>
      <c r="L3233" t="s">
        <v>18</v>
      </c>
      <c r="M3233" t="s">
        <v>18</v>
      </c>
    </row>
    <row r="3234" spans="1:13" x14ac:dyDescent="0.25">
      <c r="A3234" t="str">
        <f>"00262150"</f>
        <v>00262150</v>
      </c>
      <c r="B3234" t="s">
        <v>1348</v>
      </c>
      <c r="C3234" t="s">
        <v>74</v>
      </c>
      <c r="D3234" t="s">
        <v>21</v>
      </c>
      <c r="E3234" t="s">
        <v>26</v>
      </c>
      <c r="F3234" t="s">
        <v>17</v>
      </c>
      <c r="G3234" t="str">
        <f>"10"</f>
        <v>10</v>
      </c>
      <c r="H3234" t="str">
        <f>"0  "</f>
        <v xml:space="preserve">0  </v>
      </c>
      <c r="I3234" t="str">
        <f>"2019/12/19"</f>
        <v>2019/12/19</v>
      </c>
      <c r="J3234" t="str">
        <f>"420"</f>
        <v>420</v>
      </c>
      <c r="K3234" t="s">
        <v>18</v>
      </c>
      <c r="L3234" t="s">
        <v>18</v>
      </c>
      <c r="M3234" t="s">
        <v>18</v>
      </c>
    </row>
    <row r="3235" spans="1:13" x14ac:dyDescent="0.25">
      <c r="A3235" t="str">
        <f>"00738135"</f>
        <v>00738135</v>
      </c>
      <c r="B3235" t="s">
        <v>1351</v>
      </c>
      <c r="C3235" t="s">
        <v>1352</v>
      </c>
      <c r="D3235" t="s">
        <v>26</v>
      </c>
      <c r="E3235" t="s">
        <v>26</v>
      </c>
      <c r="F3235" t="s">
        <v>17</v>
      </c>
      <c r="G3235" t="str">
        <f>"10"</f>
        <v>10</v>
      </c>
      <c r="H3235" t="str">
        <f>"3  "</f>
        <v xml:space="preserve">3  </v>
      </c>
      <c r="I3235" t="str">
        <f>"2018/09/14"</f>
        <v>2018/09/14</v>
      </c>
      <c r="J3235" t="str">
        <f>"110"</f>
        <v>110</v>
      </c>
      <c r="K3235" t="str">
        <f>"20210710"</f>
        <v>20210710</v>
      </c>
      <c r="L3235" t="s">
        <v>18</v>
      </c>
      <c r="M3235" t="str">
        <f>"20170413"</f>
        <v>20170413</v>
      </c>
    </row>
    <row r="3236" spans="1:13" x14ac:dyDescent="0.25">
      <c r="A3236" t="str">
        <f>"00619087"</f>
        <v>00619087</v>
      </c>
      <c r="B3236" t="s">
        <v>1354</v>
      </c>
      <c r="C3236" t="s">
        <v>117</v>
      </c>
      <c r="D3236" t="s">
        <v>51</v>
      </c>
      <c r="E3236" t="s">
        <v>26</v>
      </c>
      <c r="F3236" t="s">
        <v>17</v>
      </c>
      <c r="G3236" t="str">
        <f>"10"</f>
        <v>10</v>
      </c>
      <c r="H3236" t="str">
        <f>"0  "</f>
        <v xml:space="preserve">0  </v>
      </c>
      <c r="I3236" t="str">
        <f>"2020/02/15"</f>
        <v>2020/02/15</v>
      </c>
      <c r="J3236" t="str">
        <f>"420"</f>
        <v>420</v>
      </c>
      <c r="K3236" t="s">
        <v>18</v>
      </c>
      <c r="L3236" t="s">
        <v>18</v>
      </c>
      <c r="M3236" t="s">
        <v>18</v>
      </c>
    </row>
    <row r="3237" spans="1:13" x14ac:dyDescent="0.25">
      <c r="A3237" t="str">
        <f>"00534274"</f>
        <v>00534274</v>
      </c>
      <c r="B3237" t="s">
        <v>1357</v>
      </c>
      <c r="C3237" t="s">
        <v>269</v>
      </c>
      <c r="D3237" t="s">
        <v>25</v>
      </c>
      <c r="E3237" t="s">
        <v>16</v>
      </c>
      <c r="F3237" t="s">
        <v>17</v>
      </c>
      <c r="G3237" t="str">
        <f>"10"</f>
        <v>10</v>
      </c>
      <c r="H3237" t="str">
        <f>"3  "</f>
        <v xml:space="preserve">3  </v>
      </c>
      <c r="I3237" t="str">
        <f>"2018/04/16"</f>
        <v>2018/04/16</v>
      </c>
      <c r="J3237" t="str">
        <f>"110"</f>
        <v>110</v>
      </c>
      <c r="K3237" t="str">
        <f>"20241230"</f>
        <v>20241230</v>
      </c>
      <c r="L3237" t="s">
        <v>18</v>
      </c>
      <c r="M3237" t="str">
        <f>"20170302"</f>
        <v>20170302</v>
      </c>
    </row>
    <row r="3238" spans="1:13" x14ac:dyDescent="0.25">
      <c r="A3238" t="str">
        <f>"00686213"</f>
        <v>00686213</v>
      </c>
      <c r="B3238" t="s">
        <v>1359</v>
      </c>
      <c r="C3238" t="s">
        <v>1360</v>
      </c>
      <c r="D3238" t="s">
        <v>47</v>
      </c>
      <c r="E3238" t="s">
        <v>26</v>
      </c>
      <c r="F3238" t="s">
        <v>17</v>
      </c>
      <c r="G3238" t="str">
        <f>"10"</f>
        <v>10</v>
      </c>
      <c r="H3238" t="str">
        <f>"0  "</f>
        <v xml:space="preserve">0  </v>
      </c>
      <c r="I3238" t="str">
        <f>"2019/08/20"</f>
        <v>2019/08/20</v>
      </c>
      <c r="J3238" t="str">
        <f>"420"</f>
        <v>420</v>
      </c>
      <c r="K3238" t="s">
        <v>18</v>
      </c>
      <c r="L3238" t="s">
        <v>18</v>
      </c>
      <c r="M3238" t="s">
        <v>18</v>
      </c>
    </row>
    <row r="3239" spans="1:13" x14ac:dyDescent="0.25">
      <c r="A3239" t="str">
        <f>"00625365"</f>
        <v>00625365</v>
      </c>
      <c r="B3239" t="s">
        <v>1366</v>
      </c>
      <c r="C3239" t="s">
        <v>1367</v>
      </c>
      <c r="D3239" t="s">
        <v>25</v>
      </c>
      <c r="E3239" t="s">
        <v>16</v>
      </c>
      <c r="F3239" t="s">
        <v>17</v>
      </c>
      <c r="G3239" t="str">
        <f>"10"</f>
        <v>10</v>
      </c>
      <c r="H3239" t="str">
        <f>"1  "</f>
        <v xml:space="preserve">1  </v>
      </c>
      <c r="I3239" t="str">
        <f>"2020/01/17"</f>
        <v>2020/01/17</v>
      </c>
      <c r="J3239" t="str">
        <f>"110"</f>
        <v>110</v>
      </c>
      <c r="K3239" t="str">
        <f>"20201106"</f>
        <v>20201106</v>
      </c>
      <c r="L3239" t="s">
        <v>18</v>
      </c>
      <c r="M3239" t="str">
        <f>"20191201"</f>
        <v>20191201</v>
      </c>
    </row>
    <row r="3240" spans="1:13" x14ac:dyDescent="0.25">
      <c r="A3240" t="str">
        <f>"00274028"</f>
        <v>00274028</v>
      </c>
      <c r="B3240" t="s">
        <v>1366</v>
      </c>
      <c r="C3240" t="s">
        <v>1368</v>
      </c>
      <c r="D3240" t="s">
        <v>25</v>
      </c>
      <c r="E3240" t="s">
        <v>26</v>
      </c>
      <c r="F3240" t="s">
        <v>17</v>
      </c>
      <c r="G3240" t="str">
        <f>"10"</f>
        <v>10</v>
      </c>
      <c r="H3240" t="str">
        <f>"0  "</f>
        <v xml:space="preserve">0  </v>
      </c>
      <c r="I3240" t="str">
        <f>"2020/08/31"</f>
        <v>2020/08/31</v>
      </c>
      <c r="J3240" t="str">
        <f>"420"</f>
        <v>420</v>
      </c>
      <c r="K3240" t="s">
        <v>18</v>
      </c>
      <c r="L3240" t="s">
        <v>18</v>
      </c>
      <c r="M3240" t="s">
        <v>18</v>
      </c>
    </row>
    <row r="3241" spans="1:13" x14ac:dyDescent="0.25">
      <c r="A3241" t="str">
        <f>"00911556"</f>
        <v>00911556</v>
      </c>
      <c r="B3241" t="s">
        <v>1379</v>
      </c>
      <c r="C3241" t="s">
        <v>1380</v>
      </c>
      <c r="D3241" t="s">
        <v>25</v>
      </c>
      <c r="E3241" t="s">
        <v>16</v>
      </c>
      <c r="F3241" t="s">
        <v>17</v>
      </c>
      <c r="G3241" t="str">
        <f>"10"</f>
        <v>10</v>
      </c>
      <c r="H3241" t="str">
        <f>"0  "</f>
        <v xml:space="preserve">0  </v>
      </c>
      <c r="I3241" t="str">
        <f>"2019/07/17"</f>
        <v>2019/07/17</v>
      </c>
      <c r="J3241" t="str">
        <f>"420"</f>
        <v>420</v>
      </c>
      <c r="K3241" t="s">
        <v>18</v>
      </c>
      <c r="L3241" t="s">
        <v>18</v>
      </c>
      <c r="M3241" t="s">
        <v>18</v>
      </c>
    </row>
    <row r="3242" spans="1:13" x14ac:dyDescent="0.25">
      <c r="A3242" t="str">
        <f>"00870457"</f>
        <v>00870457</v>
      </c>
      <c r="B3242" t="s">
        <v>1385</v>
      </c>
      <c r="C3242" t="s">
        <v>1339</v>
      </c>
      <c r="D3242" t="s">
        <v>456</v>
      </c>
      <c r="E3242" t="s">
        <v>16</v>
      </c>
      <c r="F3242" t="s">
        <v>17</v>
      </c>
      <c r="G3242" t="str">
        <f>"10"</f>
        <v>10</v>
      </c>
      <c r="H3242" t="str">
        <f>"3  "</f>
        <v xml:space="preserve">3  </v>
      </c>
      <c r="I3242" t="str">
        <f>"2018/12/11"</f>
        <v>2018/12/11</v>
      </c>
      <c r="J3242" t="str">
        <f>"110"</f>
        <v>110</v>
      </c>
      <c r="K3242" t="str">
        <f>"20201011"</f>
        <v>20201011</v>
      </c>
      <c r="L3242" t="s">
        <v>18</v>
      </c>
      <c r="M3242" t="str">
        <f>"20180520"</f>
        <v>20180520</v>
      </c>
    </row>
    <row r="3243" spans="1:13" x14ac:dyDescent="0.25">
      <c r="A3243" t="str">
        <f>"00567455"</f>
        <v>00567455</v>
      </c>
      <c r="B3243" t="s">
        <v>1385</v>
      </c>
      <c r="C3243" t="s">
        <v>140</v>
      </c>
      <c r="D3243" t="s">
        <v>31</v>
      </c>
      <c r="E3243" t="s">
        <v>26</v>
      </c>
      <c r="F3243" t="s">
        <v>17</v>
      </c>
      <c r="G3243" t="str">
        <f>"10"</f>
        <v>10</v>
      </c>
      <c r="H3243" t="str">
        <f>"1  "</f>
        <v xml:space="preserve">1  </v>
      </c>
      <c r="I3243" t="str">
        <f>"2020/08/09"</f>
        <v>2020/08/09</v>
      </c>
      <c r="J3243" t="str">
        <f>"120"</f>
        <v>120</v>
      </c>
      <c r="K3243" t="str">
        <f>"20201021"</f>
        <v>20201021</v>
      </c>
      <c r="L3243" t="s">
        <v>18</v>
      </c>
      <c r="M3243" t="str">
        <f>"20200728"</f>
        <v>20200728</v>
      </c>
    </row>
    <row r="3244" spans="1:13" x14ac:dyDescent="0.25">
      <c r="A3244" t="str">
        <f>"00387735"</f>
        <v>00387735</v>
      </c>
      <c r="B3244" t="s">
        <v>1385</v>
      </c>
      <c r="C3244" t="s">
        <v>74</v>
      </c>
      <c r="D3244" t="s">
        <v>25</v>
      </c>
      <c r="E3244" t="s">
        <v>26</v>
      </c>
      <c r="F3244" t="s">
        <v>17</v>
      </c>
      <c r="G3244" t="str">
        <f>"10"</f>
        <v>10</v>
      </c>
      <c r="H3244" t="str">
        <f>"3  "</f>
        <v xml:space="preserve">3  </v>
      </c>
      <c r="I3244" t="str">
        <f>"2016/07/07"</f>
        <v>2016/07/07</v>
      </c>
      <c r="J3244" t="str">
        <f>"110"</f>
        <v>110</v>
      </c>
      <c r="K3244" t="str">
        <f>"20220412"</f>
        <v>20220412</v>
      </c>
      <c r="L3244" t="s">
        <v>18</v>
      </c>
      <c r="M3244" t="str">
        <f>"20160707"</f>
        <v>20160707</v>
      </c>
    </row>
    <row r="3245" spans="1:13" x14ac:dyDescent="0.25">
      <c r="A3245" t="str">
        <f>"00732129"</f>
        <v>00732129</v>
      </c>
      <c r="B3245" t="s">
        <v>1385</v>
      </c>
      <c r="C3245" t="s">
        <v>1390</v>
      </c>
      <c r="D3245" t="s">
        <v>25</v>
      </c>
      <c r="E3245" t="s">
        <v>26</v>
      </c>
      <c r="F3245" t="s">
        <v>17</v>
      </c>
      <c r="G3245" t="str">
        <f>"10"</f>
        <v>10</v>
      </c>
      <c r="H3245" t="str">
        <f>"0  "</f>
        <v xml:space="preserve">0  </v>
      </c>
      <c r="I3245" t="str">
        <f>"2020/07/13"</f>
        <v>2020/07/13</v>
      </c>
      <c r="J3245" t="str">
        <f>"420"</f>
        <v>420</v>
      </c>
      <c r="K3245" t="s">
        <v>18</v>
      </c>
      <c r="L3245" t="s">
        <v>18</v>
      </c>
      <c r="M3245" t="s">
        <v>18</v>
      </c>
    </row>
    <row r="3246" spans="1:13" x14ac:dyDescent="0.25">
      <c r="A3246" t="str">
        <f>"00662296"</f>
        <v>00662296</v>
      </c>
      <c r="B3246" t="s">
        <v>1396</v>
      </c>
      <c r="C3246" t="s">
        <v>96</v>
      </c>
      <c r="D3246" t="s">
        <v>15</v>
      </c>
      <c r="E3246" t="s">
        <v>26</v>
      </c>
      <c r="F3246" t="s">
        <v>17</v>
      </c>
      <c r="G3246" t="str">
        <f>"10"</f>
        <v>10</v>
      </c>
      <c r="H3246" t="str">
        <f>"0  "</f>
        <v xml:space="preserve">0  </v>
      </c>
      <c r="I3246" t="str">
        <f>"2019/10/07"</f>
        <v>2019/10/07</v>
      </c>
      <c r="J3246" t="str">
        <f>"420"</f>
        <v>420</v>
      </c>
      <c r="K3246" t="s">
        <v>18</v>
      </c>
      <c r="L3246" t="s">
        <v>18</v>
      </c>
      <c r="M3246" t="s">
        <v>18</v>
      </c>
    </row>
    <row r="3247" spans="1:13" x14ac:dyDescent="0.25">
      <c r="A3247" t="str">
        <f>"00523849"</f>
        <v>00523849</v>
      </c>
      <c r="B3247" t="s">
        <v>1403</v>
      </c>
      <c r="C3247" t="s">
        <v>849</v>
      </c>
      <c r="D3247" t="s">
        <v>15</v>
      </c>
      <c r="E3247" t="s">
        <v>16</v>
      </c>
      <c r="F3247" t="s">
        <v>17</v>
      </c>
      <c r="G3247" t="str">
        <f>"10"</f>
        <v>10</v>
      </c>
      <c r="H3247" t="str">
        <f>"0  "</f>
        <v xml:space="preserve">0  </v>
      </c>
      <c r="I3247" t="str">
        <f>"2020/08/28"</f>
        <v>2020/08/28</v>
      </c>
      <c r="J3247" t="str">
        <f>"420"</f>
        <v>420</v>
      </c>
      <c r="K3247" t="s">
        <v>18</v>
      </c>
      <c r="L3247" t="s">
        <v>18</v>
      </c>
      <c r="M3247" t="s">
        <v>18</v>
      </c>
    </row>
    <row r="3248" spans="1:13" x14ac:dyDescent="0.25">
      <c r="A3248" t="str">
        <f>"00782822"</f>
        <v>00782822</v>
      </c>
      <c r="B3248" t="s">
        <v>1408</v>
      </c>
      <c r="C3248" t="s">
        <v>1410</v>
      </c>
      <c r="D3248" t="s">
        <v>61</v>
      </c>
      <c r="E3248" t="s">
        <v>26</v>
      </c>
      <c r="F3248" t="s">
        <v>17</v>
      </c>
      <c r="G3248" t="str">
        <f>"10"</f>
        <v>10</v>
      </c>
      <c r="H3248" t="str">
        <f>"0  "</f>
        <v xml:space="preserve">0  </v>
      </c>
      <c r="I3248" t="str">
        <f>"2020/09/16"</f>
        <v>2020/09/16</v>
      </c>
      <c r="J3248" t="str">
        <f>"420"</f>
        <v>420</v>
      </c>
      <c r="K3248" t="s">
        <v>18</v>
      </c>
      <c r="L3248" t="s">
        <v>18</v>
      </c>
      <c r="M3248" t="s">
        <v>18</v>
      </c>
    </row>
    <row r="3249" spans="1:13" x14ac:dyDescent="0.25">
      <c r="A3249" t="str">
        <f>"00279288"</f>
        <v>00279288</v>
      </c>
      <c r="B3249" t="s">
        <v>1411</v>
      </c>
      <c r="C3249" t="s">
        <v>74</v>
      </c>
      <c r="D3249" t="s">
        <v>73</v>
      </c>
      <c r="E3249" t="s">
        <v>16</v>
      </c>
      <c r="F3249" t="s">
        <v>17</v>
      </c>
      <c r="G3249" t="str">
        <f>"10"</f>
        <v>10</v>
      </c>
      <c r="H3249" t="str">
        <f>"0  "</f>
        <v xml:space="preserve">0  </v>
      </c>
      <c r="I3249" t="str">
        <f>"2019/08/22"</f>
        <v>2019/08/22</v>
      </c>
      <c r="J3249" t="str">
        <f>"420"</f>
        <v>420</v>
      </c>
      <c r="K3249" t="s">
        <v>18</v>
      </c>
      <c r="L3249" t="s">
        <v>18</v>
      </c>
      <c r="M3249" t="s">
        <v>18</v>
      </c>
    </row>
    <row r="3250" spans="1:13" x14ac:dyDescent="0.25">
      <c r="A3250" t="str">
        <f>"00565565"</f>
        <v>00565565</v>
      </c>
      <c r="B3250" t="s">
        <v>1412</v>
      </c>
      <c r="C3250" t="s">
        <v>71</v>
      </c>
      <c r="D3250" t="s">
        <v>182</v>
      </c>
      <c r="E3250" t="s">
        <v>26</v>
      </c>
      <c r="F3250" t="s">
        <v>17</v>
      </c>
      <c r="G3250" t="str">
        <f>"10"</f>
        <v>10</v>
      </c>
      <c r="H3250" t="str">
        <f>"0  "</f>
        <v xml:space="preserve">0  </v>
      </c>
      <c r="I3250" t="str">
        <f>"2018/09/01"</f>
        <v>2018/09/01</v>
      </c>
      <c r="J3250" t="str">
        <f>"420"</f>
        <v>420</v>
      </c>
      <c r="K3250" t="s">
        <v>18</v>
      </c>
      <c r="L3250" t="s">
        <v>18</v>
      </c>
      <c r="M3250" t="s">
        <v>18</v>
      </c>
    </row>
    <row r="3251" spans="1:13" x14ac:dyDescent="0.25">
      <c r="A3251" t="str">
        <f>"00289192"</f>
        <v>00289192</v>
      </c>
      <c r="B3251" t="s">
        <v>1417</v>
      </c>
      <c r="C3251" t="s">
        <v>308</v>
      </c>
      <c r="D3251" t="s">
        <v>182</v>
      </c>
      <c r="E3251" t="s">
        <v>26</v>
      </c>
      <c r="F3251" t="s">
        <v>17</v>
      </c>
      <c r="G3251" t="str">
        <f>"10"</f>
        <v>10</v>
      </c>
      <c r="H3251" t="str">
        <f>"0  "</f>
        <v xml:space="preserve">0  </v>
      </c>
      <c r="I3251" t="str">
        <f>"2020/07/23"</f>
        <v>2020/07/23</v>
      </c>
      <c r="J3251" t="str">
        <f>"420"</f>
        <v>420</v>
      </c>
      <c r="K3251" t="s">
        <v>18</v>
      </c>
      <c r="L3251" t="s">
        <v>18</v>
      </c>
      <c r="M3251" t="s">
        <v>18</v>
      </c>
    </row>
    <row r="3252" spans="1:13" x14ac:dyDescent="0.25">
      <c r="A3252" t="str">
        <f>"00805201"</f>
        <v>00805201</v>
      </c>
      <c r="B3252" t="s">
        <v>1426</v>
      </c>
      <c r="C3252" t="s">
        <v>414</v>
      </c>
      <c r="D3252" t="s">
        <v>45</v>
      </c>
      <c r="E3252" t="s">
        <v>26</v>
      </c>
      <c r="F3252" t="s">
        <v>17</v>
      </c>
      <c r="G3252" t="str">
        <f>"10"</f>
        <v>10</v>
      </c>
      <c r="H3252" t="str">
        <f>"3  "</f>
        <v xml:space="preserve">3  </v>
      </c>
      <c r="I3252" t="str">
        <f>"2020/06/27"</f>
        <v>2020/06/27</v>
      </c>
      <c r="J3252" t="str">
        <f>"110"</f>
        <v>110</v>
      </c>
      <c r="K3252" t="str">
        <f>"20260223"</f>
        <v>20260223</v>
      </c>
      <c r="L3252" t="s">
        <v>18</v>
      </c>
      <c r="M3252" t="str">
        <f>"20190510"</f>
        <v>20190510</v>
      </c>
    </row>
    <row r="3253" spans="1:13" x14ac:dyDescent="0.25">
      <c r="A3253" t="str">
        <f>"00449590"</f>
        <v>00449590</v>
      </c>
      <c r="B3253" t="s">
        <v>1430</v>
      </c>
      <c r="C3253" t="s">
        <v>55</v>
      </c>
      <c r="D3253" t="s">
        <v>91</v>
      </c>
      <c r="E3253" t="s">
        <v>16</v>
      </c>
      <c r="F3253" t="s">
        <v>17</v>
      </c>
      <c r="G3253" t="str">
        <f>"10"</f>
        <v>10</v>
      </c>
      <c r="H3253" t="str">
        <f>"3  "</f>
        <v xml:space="preserve">3  </v>
      </c>
      <c r="I3253" t="str">
        <f>"2018/06/11"</f>
        <v>2018/06/11</v>
      </c>
      <c r="J3253" t="str">
        <f>"110"</f>
        <v>110</v>
      </c>
      <c r="K3253" t="str">
        <f>"20250304"</f>
        <v>20250304</v>
      </c>
      <c r="L3253" t="s">
        <v>18</v>
      </c>
      <c r="M3253" t="str">
        <f>"20170608"</f>
        <v>20170608</v>
      </c>
    </row>
    <row r="3254" spans="1:13" x14ac:dyDescent="0.25">
      <c r="A3254" t="str">
        <f>"00911317"</f>
        <v>00911317</v>
      </c>
      <c r="B3254" t="s">
        <v>1432</v>
      </c>
      <c r="C3254" t="s">
        <v>218</v>
      </c>
      <c r="D3254" t="s">
        <v>15</v>
      </c>
      <c r="E3254" t="s">
        <v>16</v>
      </c>
      <c r="F3254" t="s">
        <v>17</v>
      </c>
      <c r="G3254" t="str">
        <f>"10"</f>
        <v>10</v>
      </c>
      <c r="H3254" t="str">
        <f>"1  "</f>
        <v xml:space="preserve">1  </v>
      </c>
      <c r="I3254" t="str">
        <f>"2020/07/31"</f>
        <v>2020/07/31</v>
      </c>
      <c r="J3254" t="str">
        <f>"110"</f>
        <v>110</v>
      </c>
      <c r="K3254" t="str">
        <f>"20201020"</f>
        <v>20201020</v>
      </c>
      <c r="L3254" t="s">
        <v>18</v>
      </c>
      <c r="M3254" t="str">
        <f>"20200511"</f>
        <v>20200511</v>
      </c>
    </row>
    <row r="3255" spans="1:13" x14ac:dyDescent="0.25">
      <c r="A3255" t="str">
        <f>"00855972"</f>
        <v>00855972</v>
      </c>
      <c r="B3255" t="s">
        <v>1436</v>
      </c>
      <c r="C3255" t="s">
        <v>218</v>
      </c>
      <c r="D3255" t="s">
        <v>80</v>
      </c>
      <c r="E3255" t="s">
        <v>16</v>
      </c>
      <c r="F3255" t="s">
        <v>17</v>
      </c>
      <c r="G3255" t="str">
        <f>"10"</f>
        <v>10</v>
      </c>
      <c r="H3255" t="str">
        <f>"0  "</f>
        <v xml:space="preserve">0  </v>
      </c>
      <c r="I3255" t="str">
        <f>"2019/04/23"</f>
        <v>2019/04/23</v>
      </c>
      <c r="J3255" t="str">
        <f>"420"</f>
        <v>420</v>
      </c>
      <c r="K3255" t="s">
        <v>18</v>
      </c>
      <c r="L3255" t="s">
        <v>18</v>
      </c>
      <c r="M3255" t="s">
        <v>18</v>
      </c>
    </row>
    <row r="3256" spans="1:13" x14ac:dyDescent="0.25">
      <c r="A3256" t="str">
        <f>"00411024"</f>
        <v>00411024</v>
      </c>
      <c r="B3256" t="s">
        <v>1438</v>
      </c>
      <c r="C3256" t="s">
        <v>72</v>
      </c>
      <c r="D3256" t="s">
        <v>25</v>
      </c>
      <c r="E3256" t="s">
        <v>26</v>
      </c>
      <c r="F3256" t="s">
        <v>17</v>
      </c>
      <c r="G3256" t="str">
        <f>"10"</f>
        <v>10</v>
      </c>
      <c r="H3256" t="str">
        <f>"3  "</f>
        <v xml:space="preserve">3  </v>
      </c>
      <c r="I3256" t="str">
        <f>"2019/03/28"</f>
        <v>2019/03/28</v>
      </c>
      <c r="J3256" t="str">
        <f>"110"</f>
        <v>110</v>
      </c>
      <c r="K3256" t="str">
        <f>"20221226"</f>
        <v>20221226</v>
      </c>
      <c r="L3256" t="s">
        <v>18</v>
      </c>
      <c r="M3256" t="str">
        <f>"20180807"</f>
        <v>20180807</v>
      </c>
    </row>
    <row r="3257" spans="1:13" x14ac:dyDescent="0.25">
      <c r="A3257" t="str">
        <f>"00668955"</f>
        <v>00668955</v>
      </c>
      <c r="B3257" t="s">
        <v>1438</v>
      </c>
      <c r="C3257" t="s">
        <v>1440</v>
      </c>
      <c r="D3257" t="s">
        <v>40</v>
      </c>
      <c r="E3257" t="s">
        <v>26</v>
      </c>
      <c r="F3257" t="s">
        <v>17</v>
      </c>
      <c r="G3257" t="str">
        <f>"10"</f>
        <v>10</v>
      </c>
      <c r="H3257" t="str">
        <f>"0  "</f>
        <v xml:space="preserve">0  </v>
      </c>
      <c r="I3257" t="str">
        <f>"2020/07/21"</f>
        <v>2020/07/21</v>
      </c>
      <c r="J3257" t="str">
        <f>"420"</f>
        <v>420</v>
      </c>
      <c r="K3257" t="s">
        <v>18</v>
      </c>
      <c r="L3257" t="s">
        <v>18</v>
      </c>
      <c r="M3257" t="s">
        <v>18</v>
      </c>
    </row>
    <row r="3258" spans="1:13" x14ac:dyDescent="0.25">
      <c r="A3258" t="str">
        <f>"00761103"</f>
        <v>00761103</v>
      </c>
      <c r="B3258" t="s">
        <v>1438</v>
      </c>
      <c r="C3258" t="s">
        <v>1441</v>
      </c>
      <c r="D3258" t="s">
        <v>53</v>
      </c>
      <c r="E3258" t="s">
        <v>26</v>
      </c>
      <c r="F3258" t="s">
        <v>17</v>
      </c>
      <c r="G3258" t="str">
        <f>"10"</f>
        <v>10</v>
      </c>
      <c r="H3258" t="str">
        <f>"0  "</f>
        <v xml:space="preserve">0  </v>
      </c>
      <c r="I3258" t="str">
        <f>"2020/08/04"</f>
        <v>2020/08/04</v>
      </c>
      <c r="J3258" t="str">
        <f>"420"</f>
        <v>420</v>
      </c>
      <c r="K3258" t="s">
        <v>18</v>
      </c>
      <c r="L3258" t="s">
        <v>18</v>
      </c>
      <c r="M3258" t="s">
        <v>18</v>
      </c>
    </row>
    <row r="3259" spans="1:13" x14ac:dyDescent="0.25">
      <c r="A3259" t="str">
        <f>"00267645"</f>
        <v>00267645</v>
      </c>
      <c r="B3259" t="s">
        <v>1442</v>
      </c>
      <c r="C3259" t="s">
        <v>55</v>
      </c>
      <c r="D3259" t="s">
        <v>73</v>
      </c>
      <c r="E3259" t="s">
        <v>16</v>
      </c>
      <c r="F3259" t="s">
        <v>17</v>
      </c>
      <c r="G3259" t="str">
        <f>"10"</f>
        <v>10</v>
      </c>
      <c r="H3259" t="str">
        <f>"0  "</f>
        <v xml:space="preserve">0  </v>
      </c>
      <c r="I3259" t="str">
        <f>"2019/11/09"</f>
        <v>2019/11/09</v>
      </c>
      <c r="J3259" t="str">
        <f>"420"</f>
        <v>420</v>
      </c>
      <c r="K3259" t="s">
        <v>18</v>
      </c>
      <c r="L3259" t="s">
        <v>18</v>
      </c>
      <c r="M3259" t="s">
        <v>18</v>
      </c>
    </row>
    <row r="3260" spans="1:13" x14ac:dyDescent="0.25">
      <c r="A3260" t="str">
        <f>"00735161"</f>
        <v>00735161</v>
      </c>
      <c r="B3260" t="s">
        <v>1446</v>
      </c>
      <c r="C3260" t="s">
        <v>118</v>
      </c>
      <c r="D3260" t="s">
        <v>25</v>
      </c>
      <c r="E3260" t="s">
        <v>26</v>
      </c>
      <c r="F3260" t="s">
        <v>17</v>
      </c>
      <c r="G3260" t="str">
        <f>"10"</f>
        <v>10</v>
      </c>
      <c r="H3260" t="str">
        <f>"3  "</f>
        <v xml:space="preserve">3  </v>
      </c>
      <c r="I3260" t="str">
        <f>"2019/10/23"</f>
        <v>2019/10/23</v>
      </c>
      <c r="J3260" t="str">
        <f>"502"</f>
        <v>502</v>
      </c>
      <c r="K3260" t="str">
        <f>"20201216"</f>
        <v>20201216</v>
      </c>
      <c r="L3260" t="s">
        <v>18</v>
      </c>
      <c r="M3260" t="str">
        <f>"20130207"</f>
        <v>20130207</v>
      </c>
    </row>
    <row r="3261" spans="1:13" x14ac:dyDescent="0.25">
      <c r="A3261" t="str">
        <f>"00694379"</f>
        <v>00694379</v>
      </c>
      <c r="B3261" t="s">
        <v>1447</v>
      </c>
      <c r="C3261" t="s">
        <v>308</v>
      </c>
      <c r="D3261" t="s">
        <v>21</v>
      </c>
      <c r="E3261" t="s">
        <v>26</v>
      </c>
      <c r="F3261" t="s">
        <v>17</v>
      </c>
      <c r="G3261" t="str">
        <f>"10"</f>
        <v>10</v>
      </c>
      <c r="H3261" t="str">
        <f>"3  "</f>
        <v xml:space="preserve">3  </v>
      </c>
      <c r="I3261" t="str">
        <f>"2017/09/13"</f>
        <v>2017/09/13</v>
      </c>
      <c r="J3261" t="str">
        <f>"110"</f>
        <v>110</v>
      </c>
      <c r="K3261" t="str">
        <f>"20211010"</f>
        <v>20211010</v>
      </c>
      <c r="L3261" t="s">
        <v>18</v>
      </c>
      <c r="M3261" t="str">
        <f>"20170717"</f>
        <v>20170717</v>
      </c>
    </row>
    <row r="3262" spans="1:13" x14ac:dyDescent="0.25">
      <c r="A3262" t="str">
        <f>"00403584"</f>
        <v>00403584</v>
      </c>
      <c r="B3262" t="s">
        <v>1452</v>
      </c>
      <c r="C3262" t="s">
        <v>176</v>
      </c>
      <c r="D3262" t="s">
        <v>121</v>
      </c>
      <c r="E3262" t="s">
        <v>16</v>
      </c>
      <c r="F3262" t="s">
        <v>17</v>
      </c>
      <c r="G3262" t="str">
        <f>"10"</f>
        <v>10</v>
      </c>
      <c r="H3262" t="str">
        <f>"0  "</f>
        <v xml:space="preserve">0  </v>
      </c>
      <c r="I3262" t="str">
        <f>"2020/07/22"</f>
        <v>2020/07/22</v>
      </c>
      <c r="J3262" t="str">
        <f>"420"</f>
        <v>420</v>
      </c>
      <c r="K3262" t="s">
        <v>18</v>
      </c>
      <c r="L3262" t="s">
        <v>18</v>
      </c>
      <c r="M3262" t="s">
        <v>18</v>
      </c>
    </row>
    <row r="3263" spans="1:13" x14ac:dyDescent="0.25">
      <c r="A3263" t="str">
        <f>"00161599"</f>
        <v>00161599</v>
      </c>
      <c r="B3263" t="s">
        <v>1452</v>
      </c>
      <c r="C3263" t="s">
        <v>1453</v>
      </c>
      <c r="D3263" t="s">
        <v>61</v>
      </c>
      <c r="E3263" t="s">
        <v>26</v>
      </c>
      <c r="F3263" t="s">
        <v>17</v>
      </c>
      <c r="G3263" t="str">
        <f>"10"</f>
        <v>10</v>
      </c>
      <c r="H3263" t="str">
        <f>"1  "</f>
        <v xml:space="preserve">1  </v>
      </c>
      <c r="I3263" t="str">
        <f>"2020/08/14"</f>
        <v>2020/08/14</v>
      </c>
      <c r="J3263" t="str">
        <f>"110"</f>
        <v>110</v>
      </c>
      <c r="K3263" t="str">
        <f>"20201014"</f>
        <v>20201014</v>
      </c>
      <c r="L3263" t="s">
        <v>18</v>
      </c>
      <c r="M3263" t="str">
        <f>"20200723"</f>
        <v>20200723</v>
      </c>
    </row>
    <row r="3264" spans="1:13" x14ac:dyDescent="0.25">
      <c r="A3264" t="str">
        <f>"00865596"</f>
        <v>00865596</v>
      </c>
      <c r="B3264" t="s">
        <v>1452</v>
      </c>
      <c r="C3264" t="s">
        <v>1208</v>
      </c>
      <c r="D3264" t="s">
        <v>61</v>
      </c>
      <c r="E3264" t="s">
        <v>26</v>
      </c>
      <c r="F3264" t="s">
        <v>17</v>
      </c>
      <c r="G3264" t="str">
        <f>"10"</f>
        <v>10</v>
      </c>
      <c r="H3264" t="str">
        <f>"0  "</f>
        <v xml:space="preserve">0  </v>
      </c>
      <c r="I3264" t="str">
        <f>"2020/09/03"</f>
        <v>2020/09/03</v>
      </c>
      <c r="J3264" t="str">
        <f>"420"</f>
        <v>420</v>
      </c>
      <c r="K3264" t="s">
        <v>18</v>
      </c>
      <c r="L3264" t="s">
        <v>18</v>
      </c>
      <c r="M3264" t="s">
        <v>18</v>
      </c>
    </row>
    <row r="3265" spans="1:13" x14ac:dyDescent="0.25">
      <c r="A3265" t="str">
        <f>"00881521"</f>
        <v>00881521</v>
      </c>
      <c r="B3265" t="s">
        <v>1457</v>
      </c>
      <c r="C3265" t="s">
        <v>437</v>
      </c>
      <c r="D3265" t="s">
        <v>25</v>
      </c>
      <c r="E3265" t="s">
        <v>26</v>
      </c>
      <c r="F3265" t="s">
        <v>17</v>
      </c>
      <c r="G3265" t="str">
        <f>"10"</f>
        <v>10</v>
      </c>
      <c r="H3265" t="str">
        <f>"0  "</f>
        <v xml:space="preserve">0  </v>
      </c>
      <c r="I3265" t="str">
        <f>"2018/06/22"</f>
        <v>2018/06/22</v>
      </c>
      <c r="J3265" t="str">
        <f>"420"</f>
        <v>420</v>
      </c>
      <c r="K3265" t="s">
        <v>18</v>
      </c>
      <c r="L3265" t="s">
        <v>18</v>
      </c>
      <c r="M3265" t="s">
        <v>18</v>
      </c>
    </row>
    <row r="3266" spans="1:13" x14ac:dyDescent="0.25">
      <c r="A3266" t="str">
        <f>"00806595"</f>
        <v>00806595</v>
      </c>
      <c r="B3266" t="s">
        <v>1457</v>
      </c>
      <c r="C3266" t="s">
        <v>1458</v>
      </c>
      <c r="D3266" t="s">
        <v>25</v>
      </c>
      <c r="E3266" t="s">
        <v>26</v>
      </c>
      <c r="F3266" t="s">
        <v>17</v>
      </c>
      <c r="G3266" t="str">
        <f>"10"</f>
        <v>10</v>
      </c>
      <c r="H3266" t="str">
        <f>"3  "</f>
        <v xml:space="preserve">3  </v>
      </c>
      <c r="I3266" t="str">
        <f>"2017/04/19"</f>
        <v>2017/04/19</v>
      </c>
      <c r="J3266" t="str">
        <f>"110"</f>
        <v>110</v>
      </c>
      <c r="K3266" t="str">
        <f>"20210504"</f>
        <v>20210504</v>
      </c>
      <c r="L3266" t="s">
        <v>18</v>
      </c>
      <c r="M3266" t="str">
        <f>"20170321"</f>
        <v>20170321</v>
      </c>
    </row>
    <row r="3267" spans="1:13" x14ac:dyDescent="0.25">
      <c r="A3267" t="str">
        <f>"00470273"</f>
        <v>00470273</v>
      </c>
      <c r="B3267" t="s">
        <v>1460</v>
      </c>
      <c r="C3267" t="s">
        <v>55</v>
      </c>
      <c r="D3267" t="s">
        <v>80</v>
      </c>
      <c r="E3267" t="s">
        <v>26</v>
      </c>
      <c r="F3267" t="s">
        <v>17</v>
      </c>
      <c r="G3267" t="str">
        <f>"10"</f>
        <v>10</v>
      </c>
      <c r="H3267" t="str">
        <f>"3  "</f>
        <v xml:space="preserve">3  </v>
      </c>
      <c r="I3267" t="str">
        <f>"2016/09/14"</f>
        <v>2016/09/14</v>
      </c>
      <c r="J3267" t="str">
        <f>"110"</f>
        <v>110</v>
      </c>
      <c r="K3267" t="str">
        <f>"20240321"</f>
        <v>20240321</v>
      </c>
      <c r="L3267" t="s">
        <v>18</v>
      </c>
      <c r="M3267" t="str">
        <f>"20150918"</f>
        <v>20150918</v>
      </c>
    </row>
    <row r="3268" spans="1:13" x14ac:dyDescent="0.25">
      <c r="A3268" t="str">
        <f>"00757067"</f>
        <v>00757067</v>
      </c>
      <c r="B3268" t="s">
        <v>1461</v>
      </c>
      <c r="C3268" t="s">
        <v>22</v>
      </c>
      <c r="D3268" t="s">
        <v>53</v>
      </c>
      <c r="E3268" t="s">
        <v>26</v>
      </c>
      <c r="F3268" t="s">
        <v>17</v>
      </c>
      <c r="G3268" t="str">
        <f>"10"</f>
        <v>10</v>
      </c>
      <c r="H3268" t="str">
        <f>"0  "</f>
        <v xml:space="preserve">0  </v>
      </c>
      <c r="I3268" t="str">
        <f>"2020/05/20"</f>
        <v>2020/05/20</v>
      </c>
      <c r="J3268" t="str">
        <f>"420"</f>
        <v>420</v>
      </c>
      <c r="K3268" t="s">
        <v>18</v>
      </c>
      <c r="L3268" t="s">
        <v>18</v>
      </c>
      <c r="M3268" t="s">
        <v>18</v>
      </c>
    </row>
    <row r="3269" spans="1:13" x14ac:dyDescent="0.25">
      <c r="A3269" t="str">
        <f>"00646348"</f>
        <v>00646348</v>
      </c>
      <c r="B3269" t="s">
        <v>1465</v>
      </c>
      <c r="C3269" t="s">
        <v>246</v>
      </c>
      <c r="D3269" t="s">
        <v>51</v>
      </c>
      <c r="E3269" t="s">
        <v>16</v>
      </c>
      <c r="F3269" t="s">
        <v>17</v>
      </c>
      <c r="G3269" t="str">
        <f>"10"</f>
        <v>10</v>
      </c>
      <c r="H3269" t="str">
        <f>"3  "</f>
        <v xml:space="preserve">3  </v>
      </c>
      <c r="I3269" t="str">
        <f>"2018/02/15"</f>
        <v>2018/02/15</v>
      </c>
      <c r="J3269" t="str">
        <f>"110"</f>
        <v>110</v>
      </c>
      <c r="K3269" t="str">
        <f>"20240920"</f>
        <v>20240920</v>
      </c>
      <c r="L3269" t="s">
        <v>18</v>
      </c>
      <c r="M3269" t="str">
        <f>"20161019"</f>
        <v>20161019</v>
      </c>
    </row>
    <row r="3270" spans="1:13" x14ac:dyDescent="0.25">
      <c r="A3270" t="str">
        <f>"00156827"</f>
        <v>00156827</v>
      </c>
      <c r="B3270" t="s">
        <v>1473</v>
      </c>
      <c r="C3270" t="s">
        <v>1476</v>
      </c>
      <c r="D3270" t="s">
        <v>45</v>
      </c>
      <c r="E3270" t="s">
        <v>26</v>
      </c>
      <c r="F3270" t="s">
        <v>17</v>
      </c>
      <c r="G3270" t="str">
        <f>"10"</f>
        <v>10</v>
      </c>
      <c r="H3270" t="str">
        <f>"0  "</f>
        <v xml:space="preserve">0  </v>
      </c>
      <c r="I3270" t="str">
        <f>"2020/06/10"</f>
        <v>2020/06/10</v>
      </c>
      <c r="J3270" t="str">
        <f>"420"</f>
        <v>420</v>
      </c>
      <c r="K3270" t="s">
        <v>18</v>
      </c>
      <c r="L3270" t="s">
        <v>18</v>
      </c>
      <c r="M3270" t="s">
        <v>18</v>
      </c>
    </row>
    <row r="3271" spans="1:13" x14ac:dyDescent="0.25">
      <c r="A3271" t="str">
        <f>"00365483"</f>
        <v>00365483</v>
      </c>
      <c r="B3271" t="s">
        <v>1483</v>
      </c>
      <c r="C3271" t="s">
        <v>398</v>
      </c>
      <c r="D3271" t="s">
        <v>45</v>
      </c>
      <c r="E3271" t="s">
        <v>16</v>
      </c>
      <c r="F3271" t="s">
        <v>17</v>
      </c>
      <c r="G3271" t="str">
        <f>"10"</f>
        <v>10</v>
      </c>
      <c r="H3271" t="str">
        <f>"0  "</f>
        <v xml:space="preserve">0  </v>
      </c>
      <c r="I3271" t="str">
        <f>"2020/09/02"</f>
        <v>2020/09/02</v>
      </c>
      <c r="J3271" t="str">
        <f>"420"</f>
        <v>420</v>
      </c>
      <c r="K3271" t="s">
        <v>18</v>
      </c>
      <c r="L3271" t="s">
        <v>18</v>
      </c>
      <c r="M3271" t="s">
        <v>18</v>
      </c>
    </row>
    <row r="3272" spans="1:13" x14ac:dyDescent="0.25">
      <c r="A3272" t="str">
        <f>"00220447"</f>
        <v>00220447</v>
      </c>
      <c r="B3272" t="s">
        <v>1484</v>
      </c>
      <c r="C3272" t="s">
        <v>249</v>
      </c>
      <c r="D3272" t="s">
        <v>16</v>
      </c>
      <c r="E3272" t="s">
        <v>16</v>
      </c>
      <c r="F3272" t="s">
        <v>17</v>
      </c>
      <c r="G3272" t="str">
        <f>"10"</f>
        <v>10</v>
      </c>
      <c r="H3272" t="str">
        <f>"3  "</f>
        <v xml:space="preserve">3  </v>
      </c>
      <c r="I3272" t="str">
        <f>"2020/01/07"</f>
        <v>2020/01/07</v>
      </c>
      <c r="J3272" t="str">
        <f>"110"</f>
        <v>110</v>
      </c>
      <c r="K3272" t="str">
        <f>"20211106"</f>
        <v>20211106</v>
      </c>
      <c r="L3272" t="s">
        <v>18</v>
      </c>
      <c r="M3272" t="str">
        <f>"20200107"</f>
        <v>20200107</v>
      </c>
    </row>
    <row r="3273" spans="1:13" x14ac:dyDescent="0.25">
      <c r="A3273" t="str">
        <f>"00598054"</f>
        <v>00598054</v>
      </c>
      <c r="B3273" t="s">
        <v>1486</v>
      </c>
      <c r="C3273" t="s">
        <v>1487</v>
      </c>
      <c r="D3273" t="s">
        <v>25</v>
      </c>
      <c r="E3273" t="s">
        <v>26</v>
      </c>
      <c r="F3273" t="s">
        <v>17</v>
      </c>
      <c r="G3273" t="str">
        <f>"10"</f>
        <v>10</v>
      </c>
      <c r="H3273" t="str">
        <f>"3  "</f>
        <v xml:space="preserve">3  </v>
      </c>
      <c r="I3273" t="str">
        <f>"2015/03/04"</f>
        <v>2015/03/04</v>
      </c>
      <c r="J3273" t="str">
        <f>"120"</f>
        <v>120</v>
      </c>
      <c r="K3273" t="str">
        <f>"20210811"</f>
        <v>20210811</v>
      </c>
      <c r="L3273" t="s">
        <v>18</v>
      </c>
      <c r="M3273" t="str">
        <f>"20141202"</f>
        <v>20141202</v>
      </c>
    </row>
    <row r="3274" spans="1:13" x14ac:dyDescent="0.25">
      <c r="A3274" t="str">
        <f>"00635833"</f>
        <v>00635833</v>
      </c>
      <c r="B3274" t="s">
        <v>1486</v>
      </c>
      <c r="C3274" t="s">
        <v>1488</v>
      </c>
      <c r="D3274" t="s">
        <v>25</v>
      </c>
      <c r="E3274" t="s">
        <v>26</v>
      </c>
      <c r="F3274" t="s">
        <v>17</v>
      </c>
      <c r="G3274" t="str">
        <f>"10"</f>
        <v>10</v>
      </c>
      <c r="H3274" t="str">
        <f>"0  "</f>
        <v xml:space="preserve">0  </v>
      </c>
      <c r="I3274" t="str">
        <f>"2020/09/03"</f>
        <v>2020/09/03</v>
      </c>
      <c r="J3274" t="str">
        <f>"420"</f>
        <v>420</v>
      </c>
      <c r="K3274" t="s">
        <v>18</v>
      </c>
      <c r="L3274" t="s">
        <v>18</v>
      </c>
      <c r="M3274" t="s">
        <v>18</v>
      </c>
    </row>
    <row r="3275" spans="1:13" x14ac:dyDescent="0.25">
      <c r="A3275" t="str">
        <f>"00264884"</f>
        <v>00264884</v>
      </c>
      <c r="B3275" t="s">
        <v>1490</v>
      </c>
      <c r="C3275" t="s">
        <v>327</v>
      </c>
      <c r="D3275" t="s">
        <v>25</v>
      </c>
      <c r="E3275" t="s">
        <v>26</v>
      </c>
      <c r="F3275" t="s">
        <v>17</v>
      </c>
      <c r="G3275" t="str">
        <f>"10"</f>
        <v>10</v>
      </c>
      <c r="H3275" t="str">
        <f>"3  "</f>
        <v xml:space="preserve">3  </v>
      </c>
      <c r="I3275" t="str">
        <f>"2019/09/12"</f>
        <v>2019/09/12</v>
      </c>
      <c r="J3275" t="str">
        <f>"110"</f>
        <v>110</v>
      </c>
      <c r="K3275" t="str">
        <f>"20240301"</f>
        <v>20240301</v>
      </c>
      <c r="L3275" t="s">
        <v>18</v>
      </c>
      <c r="M3275" t="str">
        <f>"20190909"</f>
        <v>20190909</v>
      </c>
    </row>
    <row r="3276" spans="1:13" x14ac:dyDescent="0.25">
      <c r="A3276" t="str">
        <f>"00521289"</f>
        <v>00521289</v>
      </c>
      <c r="B3276" t="s">
        <v>1497</v>
      </c>
      <c r="C3276" t="s">
        <v>115</v>
      </c>
      <c r="D3276" t="s">
        <v>37</v>
      </c>
      <c r="E3276" t="s">
        <v>16</v>
      </c>
      <c r="F3276" t="s">
        <v>17</v>
      </c>
      <c r="G3276" t="str">
        <f>"10"</f>
        <v>10</v>
      </c>
      <c r="H3276" t="str">
        <f>"0  "</f>
        <v xml:space="preserve">0  </v>
      </c>
      <c r="I3276" t="str">
        <f>"2020/08/11"</f>
        <v>2020/08/11</v>
      </c>
      <c r="J3276" t="str">
        <f>"420"</f>
        <v>420</v>
      </c>
      <c r="K3276" t="s">
        <v>18</v>
      </c>
      <c r="L3276" t="s">
        <v>18</v>
      </c>
      <c r="M3276" t="s">
        <v>18</v>
      </c>
    </row>
    <row r="3277" spans="1:13" x14ac:dyDescent="0.25">
      <c r="A3277" t="str">
        <f>"00757167"</f>
        <v>00757167</v>
      </c>
      <c r="B3277" t="s">
        <v>1497</v>
      </c>
      <c r="C3277" t="s">
        <v>120</v>
      </c>
      <c r="D3277" t="s">
        <v>61</v>
      </c>
      <c r="E3277" t="s">
        <v>16</v>
      </c>
      <c r="F3277" t="s">
        <v>17</v>
      </c>
      <c r="G3277" t="str">
        <f>"10"</f>
        <v>10</v>
      </c>
      <c r="H3277" t="str">
        <f>"3  "</f>
        <v xml:space="preserve">3  </v>
      </c>
      <c r="I3277" t="str">
        <f>"2019/12/09"</f>
        <v>2019/12/09</v>
      </c>
      <c r="J3277" t="str">
        <f>"110"</f>
        <v>110</v>
      </c>
      <c r="K3277" t="str">
        <f>"20201002"</f>
        <v>20201002</v>
      </c>
      <c r="L3277" t="s">
        <v>18</v>
      </c>
      <c r="M3277" t="str">
        <f>"20190405"</f>
        <v>20190405</v>
      </c>
    </row>
    <row r="3278" spans="1:13" x14ac:dyDescent="0.25">
      <c r="A3278" t="str">
        <f>"00687563"</f>
        <v>00687563</v>
      </c>
      <c r="B3278" t="s">
        <v>1497</v>
      </c>
      <c r="C3278" t="s">
        <v>655</v>
      </c>
      <c r="D3278" t="s">
        <v>142</v>
      </c>
      <c r="E3278" t="s">
        <v>16</v>
      </c>
      <c r="F3278" t="s">
        <v>17</v>
      </c>
      <c r="G3278" t="str">
        <f>"10"</f>
        <v>10</v>
      </c>
      <c r="H3278" t="str">
        <f>"0  "</f>
        <v xml:space="preserve">0  </v>
      </c>
      <c r="I3278" t="str">
        <f>"2020/09/03"</f>
        <v>2020/09/03</v>
      </c>
      <c r="J3278" t="str">
        <f>"420"</f>
        <v>420</v>
      </c>
      <c r="K3278" t="s">
        <v>18</v>
      </c>
      <c r="L3278" t="s">
        <v>18</v>
      </c>
      <c r="M3278" t="s">
        <v>18</v>
      </c>
    </row>
    <row r="3279" spans="1:13" x14ac:dyDescent="0.25">
      <c r="A3279" t="str">
        <f>"00346020"</f>
        <v>00346020</v>
      </c>
      <c r="B3279" t="s">
        <v>1501</v>
      </c>
      <c r="C3279" t="s">
        <v>55</v>
      </c>
      <c r="D3279" t="s">
        <v>25</v>
      </c>
      <c r="E3279" t="s">
        <v>16</v>
      </c>
      <c r="F3279" t="s">
        <v>17</v>
      </c>
      <c r="G3279" t="str">
        <f>"10"</f>
        <v>10</v>
      </c>
      <c r="H3279" t="str">
        <f>"0  "</f>
        <v xml:space="preserve">0  </v>
      </c>
      <c r="I3279" t="str">
        <f>"2020/01/30"</f>
        <v>2020/01/30</v>
      </c>
      <c r="J3279" t="str">
        <f>"420"</f>
        <v>420</v>
      </c>
      <c r="K3279" t="s">
        <v>18</v>
      </c>
      <c r="L3279" t="s">
        <v>18</v>
      </c>
      <c r="M3279" t="s">
        <v>18</v>
      </c>
    </row>
    <row r="3280" spans="1:13" x14ac:dyDescent="0.25">
      <c r="A3280" t="str">
        <f>"00604934"</f>
        <v>00604934</v>
      </c>
      <c r="B3280" t="s">
        <v>1505</v>
      </c>
      <c r="C3280" t="s">
        <v>1506</v>
      </c>
      <c r="D3280" t="s">
        <v>37</v>
      </c>
      <c r="E3280" t="s">
        <v>26</v>
      </c>
      <c r="F3280" t="s">
        <v>17</v>
      </c>
      <c r="G3280" t="str">
        <f>"10"</f>
        <v>10</v>
      </c>
      <c r="H3280" t="str">
        <f>"3  "</f>
        <v xml:space="preserve">3  </v>
      </c>
      <c r="I3280" t="str">
        <f>"2020/07/01"</f>
        <v>2020/07/01</v>
      </c>
      <c r="J3280" t="str">
        <f>"502"</f>
        <v>502</v>
      </c>
      <c r="K3280" t="str">
        <f>"20250423"</f>
        <v>20250423</v>
      </c>
      <c r="L3280" t="s">
        <v>18</v>
      </c>
      <c r="M3280" t="str">
        <f>"20180204"</f>
        <v>20180204</v>
      </c>
    </row>
    <row r="3281" spans="1:13" x14ac:dyDescent="0.25">
      <c r="A3281" t="str">
        <f>"00617672"</f>
        <v>00617672</v>
      </c>
      <c r="B3281" t="s">
        <v>1508</v>
      </c>
      <c r="C3281" t="s">
        <v>1511</v>
      </c>
      <c r="D3281" t="s">
        <v>51</v>
      </c>
      <c r="E3281" t="s">
        <v>26</v>
      </c>
      <c r="F3281" t="s">
        <v>17</v>
      </c>
      <c r="G3281" t="str">
        <f>"10"</f>
        <v>10</v>
      </c>
      <c r="H3281" t="str">
        <f>"3  "</f>
        <v xml:space="preserve">3  </v>
      </c>
      <c r="I3281" t="str">
        <f>"2018/11/01"</f>
        <v>2018/11/01</v>
      </c>
      <c r="J3281" t="str">
        <f>"120"</f>
        <v>120</v>
      </c>
      <c r="K3281" t="str">
        <f>"20210630"</f>
        <v>20210630</v>
      </c>
      <c r="L3281" t="s">
        <v>18</v>
      </c>
      <c r="M3281" t="str">
        <f>"20180201"</f>
        <v>20180201</v>
      </c>
    </row>
    <row r="3282" spans="1:13" x14ac:dyDescent="0.25">
      <c r="A3282" t="str">
        <f>"00915389"</f>
        <v>00915389</v>
      </c>
      <c r="B3282" t="s">
        <v>1516</v>
      </c>
      <c r="C3282" t="s">
        <v>302</v>
      </c>
      <c r="D3282" t="s">
        <v>40</v>
      </c>
      <c r="E3282" t="s">
        <v>16</v>
      </c>
      <c r="F3282" t="s">
        <v>17</v>
      </c>
      <c r="G3282" t="str">
        <f>"10"</f>
        <v>10</v>
      </c>
      <c r="H3282" t="str">
        <f>"3  "</f>
        <v xml:space="preserve">3  </v>
      </c>
      <c r="I3282" t="str">
        <f>"2020/08/09"</f>
        <v>2020/08/09</v>
      </c>
      <c r="J3282" t="str">
        <f>"110"</f>
        <v>110</v>
      </c>
      <c r="K3282" t="str">
        <f>"20250211"</f>
        <v>20250211</v>
      </c>
      <c r="L3282" t="s">
        <v>18</v>
      </c>
      <c r="M3282" t="str">
        <f>"20190905"</f>
        <v>20190905</v>
      </c>
    </row>
    <row r="3283" spans="1:13" x14ac:dyDescent="0.25">
      <c r="A3283" t="str">
        <f>"00205839"</f>
        <v>00205839</v>
      </c>
      <c r="B3283" t="s">
        <v>1516</v>
      </c>
      <c r="C3283" t="s">
        <v>22</v>
      </c>
      <c r="D3283" t="s">
        <v>15</v>
      </c>
      <c r="E3283" t="s">
        <v>16</v>
      </c>
      <c r="F3283" t="s">
        <v>17</v>
      </c>
      <c r="G3283" t="str">
        <f>"10"</f>
        <v>10</v>
      </c>
      <c r="H3283" t="str">
        <f>"1  "</f>
        <v xml:space="preserve">1  </v>
      </c>
      <c r="I3283" t="str">
        <f>"2020/05/05"</f>
        <v>2020/05/05</v>
      </c>
      <c r="J3283" t="str">
        <f>"120"</f>
        <v>120</v>
      </c>
      <c r="K3283" t="str">
        <f>"20201012"</f>
        <v>20201012</v>
      </c>
      <c r="L3283" t="s">
        <v>18</v>
      </c>
      <c r="M3283" t="str">
        <f>"20200425"</f>
        <v>20200425</v>
      </c>
    </row>
    <row r="3284" spans="1:13" x14ac:dyDescent="0.25">
      <c r="A3284" t="str">
        <f>"00172919"</f>
        <v>00172919</v>
      </c>
      <c r="B3284" t="s">
        <v>1518</v>
      </c>
      <c r="C3284" t="s">
        <v>44</v>
      </c>
      <c r="D3284" t="s">
        <v>73</v>
      </c>
      <c r="E3284" t="s">
        <v>16</v>
      </c>
      <c r="F3284" t="s">
        <v>17</v>
      </c>
      <c r="G3284" t="str">
        <f>"10"</f>
        <v>10</v>
      </c>
      <c r="H3284" t="str">
        <f>"1  "</f>
        <v xml:space="preserve">1  </v>
      </c>
      <c r="I3284" t="str">
        <f>"2020/09/04"</f>
        <v>2020/09/04</v>
      </c>
      <c r="J3284" t="str">
        <f>"110"</f>
        <v>110</v>
      </c>
      <c r="K3284" t="str">
        <f>"20201109"</f>
        <v>20201109</v>
      </c>
      <c r="L3284" t="s">
        <v>18</v>
      </c>
      <c r="M3284" t="str">
        <f>"20200818"</f>
        <v>20200818</v>
      </c>
    </row>
    <row r="3285" spans="1:13" x14ac:dyDescent="0.25">
      <c r="A3285" t="str">
        <f>"00691644"</f>
        <v>00691644</v>
      </c>
      <c r="B3285" t="s">
        <v>1520</v>
      </c>
      <c r="C3285" t="s">
        <v>136</v>
      </c>
      <c r="D3285" t="s">
        <v>456</v>
      </c>
      <c r="E3285" t="s">
        <v>16</v>
      </c>
      <c r="F3285" t="s">
        <v>17</v>
      </c>
      <c r="G3285" t="str">
        <f>"10"</f>
        <v>10</v>
      </c>
      <c r="H3285" t="str">
        <f>"0  "</f>
        <v xml:space="preserve">0  </v>
      </c>
      <c r="I3285" t="str">
        <f>"2020/08/07"</f>
        <v>2020/08/07</v>
      </c>
      <c r="J3285" t="str">
        <f>"420"</f>
        <v>420</v>
      </c>
      <c r="K3285" t="s">
        <v>18</v>
      </c>
      <c r="L3285" t="s">
        <v>18</v>
      </c>
      <c r="M3285" t="s">
        <v>18</v>
      </c>
    </row>
    <row r="3286" spans="1:13" x14ac:dyDescent="0.25">
      <c r="A3286" t="str">
        <f>"00764705"</f>
        <v>00764705</v>
      </c>
      <c r="B3286" t="s">
        <v>1526</v>
      </c>
      <c r="C3286" t="s">
        <v>1528</v>
      </c>
      <c r="D3286" t="s">
        <v>53</v>
      </c>
      <c r="E3286" t="s">
        <v>26</v>
      </c>
      <c r="F3286" t="s">
        <v>17</v>
      </c>
      <c r="G3286" t="str">
        <f>"10"</f>
        <v>10</v>
      </c>
      <c r="H3286" t="str">
        <f>"0  "</f>
        <v xml:space="preserve">0  </v>
      </c>
      <c r="I3286" t="str">
        <f>"2020/09/04"</f>
        <v>2020/09/04</v>
      </c>
      <c r="J3286" t="str">
        <f>"420"</f>
        <v>420</v>
      </c>
      <c r="K3286" t="s">
        <v>18</v>
      </c>
      <c r="L3286" t="s">
        <v>18</v>
      </c>
      <c r="M3286" t="s">
        <v>18</v>
      </c>
    </row>
    <row r="3287" spans="1:13" x14ac:dyDescent="0.25">
      <c r="A3287" t="str">
        <f>"00418787"</f>
        <v>00418787</v>
      </c>
      <c r="B3287" t="s">
        <v>1532</v>
      </c>
      <c r="C3287" t="s">
        <v>645</v>
      </c>
      <c r="D3287" t="s">
        <v>25</v>
      </c>
      <c r="E3287" t="s">
        <v>26</v>
      </c>
      <c r="F3287" t="s">
        <v>17</v>
      </c>
      <c r="G3287" t="str">
        <f>"10"</f>
        <v>10</v>
      </c>
      <c r="H3287" t="str">
        <f>"3  "</f>
        <v xml:space="preserve">3  </v>
      </c>
      <c r="I3287" t="str">
        <f>"2019/10/28"</f>
        <v>2019/10/28</v>
      </c>
      <c r="J3287" t="str">
        <f>"110"</f>
        <v>110</v>
      </c>
      <c r="K3287" t="str">
        <f>"20231114"</f>
        <v>20231114</v>
      </c>
      <c r="L3287" t="s">
        <v>18</v>
      </c>
      <c r="M3287" t="str">
        <f>"20190502"</f>
        <v>20190502</v>
      </c>
    </row>
    <row r="3288" spans="1:13" x14ac:dyDescent="0.25">
      <c r="A3288" t="str">
        <f>"00282428"</f>
        <v>00282428</v>
      </c>
      <c r="B3288" t="s">
        <v>1534</v>
      </c>
      <c r="C3288" t="s">
        <v>1511</v>
      </c>
      <c r="D3288" t="s">
        <v>25</v>
      </c>
      <c r="E3288" t="s">
        <v>26</v>
      </c>
      <c r="F3288" t="s">
        <v>17</v>
      </c>
      <c r="G3288" t="str">
        <f>"10"</f>
        <v>10</v>
      </c>
      <c r="H3288" t="str">
        <f>"3  "</f>
        <v xml:space="preserve">3  </v>
      </c>
      <c r="I3288" t="str">
        <f>"2018/09/24"</f>
        <v>2018/09/24</v>
      </c>
      <c r="J3288" t="str">
        <f>"110"</f>
        <v>110</v>
      </c>
      <c r="K3288" t="str">
        <f>"20211104"</f>
        <v>20211104</v>
      </c>
      <c r="L3288" t="s">
        <v>18</v>
      </c>
      <c r="M3288" t="str">
        <f>"20180426"</f>
        <v>20180426</v>
      </c>
    </row>
    <row r="3289" spans="1:13" x14ac:dyDescent="0.25">
      <c r="A3289" t="str">
        <f>"00602178"</f>
        <v>00602178</v>
      </c>
      <c r="B3289" t="s">
        <v>1543</v>
      </c>
      <c r="C3289" t="s">
        <v>658</v>
      </c>
      <c r="D3289" t="s">
        <v>25</v>
      </c>
      <c r="E3289" t="s">
        <v>16</v>
      </c>
      <c r="F3289" t="s">
        <v>17</v>
      </c>
      <c r="G3289" t="str">
        <f>"10"</f>
        <v>10</v>
      </c>
      <c r="H3289" t="str">
        <f>"3  "</f>
        <v xml:space="preserve">3  </v>
      </c>
      <c r="I3289" t="str">
        <f>"2018/10/09"</f>
        <v>2018/10/09</v>
      </c>
      <c r="J3289" t="str">
        <f>"110"</f>
        <v>110</v>
      </c>
      <c r="K3289" t="str">
        <f>"20201110"</f>
        <v>20201110</v>
      </c>
      <c r="L3289" t="s">
        <v>18</v>
      </c>
      <c r="M3289" t="str">
        <f>"20180609"</f>
        <v>20180609</v>
      </c>
    </row>
    <row r="3290" spans="1:13" x14ac:dyDescent="0.25">
      <c r="A3290" t="str">
        <f>"00571913"</f>
        <v>00571913</v>
      </c>
      <c r="B3290" t="s">
        <v>1553</v>
      </c>
      <c r="C3290" t="s">
        <v>1554</v>
      </c>
      <c r="D3290" t="s">
        <v>21</v>
      </c>
      <c r="E3290" t="s">
        <v>26</v>
      </c>
      <c r="F3290" t="s">
        <v>17</v>
      </c>
      <c r="G3290" t="str">
        <f>"10"</f>
        <v>10</v>
      </c>
      <c r="H3290" t="str">
        <f>"0  "</f>
        <v xml:space="preserve">0  </v>
      </c>
      <c r="I3290" t="str">
        <f>"2019/09/14"</f>
        <v>2019/09/14</v>
      </c>
      <c r="J3290" t="str">
        <f>"420"</f>
        <v>420</v>
      </c>
      <c r="K3290" t="s">
        <v>18</v>
      </c>
      <c r="L3290" t="s">
        <v>18</v>
      </c>
      <c r="M3290" t="s">
        <v>18</v>
      </c>
    </row>
    <row r="3291" spans="1:13" x14ac:dyDescent="0.25">
      <c r="A3291" t="str">
        <f>"00645384"</f>
        <v>00645384</v>
      </c>
      <c r="B3291" t="s">
        <v>1555</v>
      </c>
      <c r="C3291" t="s">
        <v>1556</v>
      </c>
      <c r="D3291" t="s">
        <v>25</v>
      </c>
      <c r="E3291" t="s">
        <v>26</v>
      </c>
      <c r="F3291" t="s">
        <v>17</v>
      </c>
      <c r="G3291" t="str">
        <f>"10"</f>
        <v>10</v>
      </c>
      <c r="H3291" t="str">
        <f>"0  "</f>
        <v xml:space="preserve">0  </v>
      </c>
      <c r="I3291" t="str">
        <f>"2020/08/12"</f>
        <v>2020/08/12</v>
      </c>
      <c r="J3291" t="str">
        <f>"420"</f>
        <v>420</v>
      </c>
      <c r="K3291" t="s">
        <v>18</v>
      </c>
      <c r="L3291" t="s">
        <v>18</v>
      </c>
      <c r="M3291" t="s">
        <v>18</v>
      </c>
    </row>
    <row r="3292" spans="1:13" x14ac:dyDescent="0.25">
      <c r="A3292" t="str">
        <f>"00342894"</f>
        <v>00342894</v>
      </c>
      <c r="B3292" t="s">
        <v>1555</v>
      </c>
      <c r="C3292" t="s">
        <v>162</v>
      </c>
      <c r="D3292" t="s">
        <v>25</v>
      </c>
      <c r="E3292" t="s">
        <v>26</v>
      </c>
      <c r="F3292" t="s">
        <v>17</v>
      </c>
      <c r="G3292" t="str">
        <f>"10"</f>
        <v>10</v>
      </c>
      <c r="H3292" t="str">
        <f>"3  "</f>
        <v xml:space="preserve">3  </v>
      </c>
      <c r="I3292" t="str">
        <f>"2014/08/14"</f>
        <v>2014/08/14</v>
      </c>
      <c r="J3292" t="str">
        <f>"110"</f>
        <v>110</v>
      </c>
      <c r="K3292" t="str">
        <f>"20220430"</f>
        <v>20220430</v>
      </c>
      <c r="L3292" t="s">
        <v>18</v>
      </c>
      <c r="M3292" t="str">
        <f>"20140117"</f>
        <v>20140117</v>
      </c>
    </row>
    <row r="3293" spans="1:13" x14ac:dyDescent="0.25">
      <c r="A3293" t="str">
        <f>"00583760"</f>
        <v>00583760</v>
      </c>
      <c r="B3293" t="s">
        <v>1557</v>
      </c>
      <c r="C3293" t="s">
        <v>72</v>
      </c>
      <c r="D3293" t="s">
        <v>53</v>
      </c>
      <c r="E3293" t="s">
        <v>26</v>
      </c>
      <c r="F3293" t="s">
        <v>17</v>
      </c>
      <c r="G3293" t="str">
        <f>"10"</f>
        <v>10</v>
      </c>
      <c r="H3293" t="str">
        <f>"3  "</f>
        <v xml:space="preserve">3  </v>
      </c>
      <c r="I3293" t="str">
        <f>"2017/08/26"</f>
        <v>2017/08/26</v>
      </c>
      <c r="J3293" t="str">
        <f>"110"</f>
        <v>110</v>
      </c>
      <c r="K3293" t="str">
        <f>"20231027"</f>
        <v>20231027</v>
      </c>
      <c r="L3293" t="s">
        <v>18</v>
      </c>
      <c r="M3293" t="str">
        <f>"20170615"</f>
        <v>20170615</v>
      </c>
    </row>
    <row r="3294" spans="1:13" x14ac:dyDescent="0.25">
      <c r="A3294" t="str">
        <f>"00658418"</f>
        <v>00658418</v>
      </c>
      <c r="B3294" t="s">
        <v>1562</v>
      </c>
      <c r="C3294" t="s">
        <v>447</v>
      </c>
      <c r="D3294" t="s">
        <v>21</v>
      </c>
      <c r="E3294" t="s">
        <v>16</v>
      </c>
      <c r="F3294" t="s">
        <v>17</v>
      </c>
      <c r="G3294" t="str">
        <f>"10"</f>
        <v>10</v>
      </c>
      <c r="H3294" t="str">
        <f>"0  "</f>
        <v xml:space="preserve">0  </v>
      </c>
      <c r="I3294" t="str">
        <f>"2020/09/17"</f>
        <v>2020/09/17</v>
      </c>
      <c r="J3294" t="str">
        <f>"440"</f>
        <v>440</v>
      </c>
      <c r="K3294" t="s">
        <v>18</v>
      </c>
      <c r="L3294" t="s">
        <v>18</v>
      </c>
      <c r="M3294" t="s">
        <v>18</v>
      </c>
    </row>
    <row r="3295" spans="1:13" x14ac:dyDescent="0.25">
      <c r="A3295" t="str">
        <f>"00749766"</f>
        <v>00749766</v>
      </c>
      <c r="B3295" t="s">
        <v>1572</v>
      </c>
      <c r="C3295" t="s">
        <v>1574</v>
      </c>
      <c r="D3295" t="s">
        <v>25</v>
      </c>
      <c r="E3295" t="s">
        <v>16</v>
      </c>
      <c r="F3295" t="s">
        <v>17</v>
      </c>
      <c r="G3295" t="str">
        <f>"10"</f>
        <v>10</v>
      </c>
      <c r="H3295" t="str">
        <f>"0  "</f>
        <v xml:space="preserve">0  </v>
      </c>
      <c r="I3295" t="str">
        <f>"2020/09/08"</f>
        <v>2020/09/08</v>
      </c>
      <c r="J3295" t="str">
        <f>"420"</f>
        <v>420</v>
      </c>
      <c r="K3295" t="s">
        <v>18</v>
      </c>
      <c r="L3295" t="s">
        <v>18</v>
      </c>
      <c r="M3295" t="s">
        <v>18</v>
      </c>
    </row>
    <row r="3296" spans="1:13" x14ac:dyDescent="0.25">
      <c r="A3296" t="str">
        <f>"00785258"</f>
        <v>00785258</v>
      </c>
      <c r="B3296" t="s">
        <v>1582</v>
      </c>
      <c r="C3296" t="s">
        <v>140</v>
      </c>
      <c r="D3296" t="s">
        <v>31</v>
      </c>
      <c r="E3296" t="s">
        <v>26</v>
      </c>
      <c r="F3296" t="s">
        <v>17</v>
      </c>
      <c r="G3296" t="str">
        <f>"10"</f>
        <v>10</v>
      </c>
      <c r="H3296" t="str">
        <f>"0  "</f>
        <v xml:space="preserve">0  </v>
      </c>
      <c r="I3296" t="str">
        <f>"2019/01/04"</f>
        <v>2019/01/04</v>
      </c>
      <c r="J3296" t="str">
        <f>"420"</f>
        <v>420</v>
      </c>
      <c r="K3296" t="s">
        <v>18</v>
      </c>
      <c r="L3296" t="s">
        <v>18</v>
      </c>
      <c r="M3296" t="s">
        <v>18</v>
      </c>
    </row>
    <row r="3297" spans="1:13" x14ac:dyDescent="0.25">
      <c r="A3297" t="str">
        <f>"00252141"</f>
        <v>00252141</v>
      </c>
      <c r="B3297" t="s">
        <v>1584</v>
      </c>
      <c r="C3297" t="s">
        <v>125</v>
      </c>
      <c r="D3297" t="s">
        <v>21</v>
      </c>
      <c r="E3297" t="s">
        <v>26</v>
      </c>
      <c r="F3297" t="s">
        <v>17</v>
      </c>
      <c r="G3297" t="str">
        <f>"10"</f>
        <v>10</v>
      </c>
      <c r="H3297" t="str">
        <f>"3  "</f>
        <v xml:space="preserve">3  </v>
      </c>
      <c r="I3297" t="str">
        <f>"2015/06/19"</f>
        <v>2015/06/19</v>
      </c>
      <c r="J3297" t="str">
        <f>"110"</f>
        <v>110</v>
      </c>
      <c r="K3297" t="str">
        <f>"20210614"</f>
        <v>20210614</v>
      </c>
      <c r="L3297" t="s">
        <v>18</v>
      </c>
      <c r="M3297" t="str">
        <f>"20141214"</f>
        <v>20141214</v>
      </c>
    </row>
    <row r="3298" spans="1:13" x14ac:dyDescent="0.25">
      <c r="A3298" t="str">
        <f>"00570726"</f>
        <v>00570726</v>
      </c>
      <c r="B3298" t="s">
        <v>1591</v>
      </c>
      <c r="C3298" t="s">
        <v>411</v>
      </c>
      <c r="D3298" t="s">
        <v>51</v>
      </c>
      <c r="E3298" t="s">
        <v>26</v>
      </c>
      <c r="F3298" t="s">
        <v>17</v>
      </c>
      <c r="G3298" t="str">
        <f>"10"</f>
        <v>10</v>
      </c>
      <c r="H3298" t="str">
        <f>"3  "</f>
        <v xml:space="preserve">3  </v>
      </c>
      <c r="I3298" t="str">
        <f>"2018/12/15"</f>
        <v>2018/12/15</v>
      </c>
      <c r="J3298" t="str">
        <f>"110"</f>
        <v>110</v>
      </c>
      <c r="K3298" t="str">
        <f>"20210908"</f>
        <v>20210908</v>
      </c>
      <c r="L3298" t="s">
        <v>18</v>
      </c>
      <c r="M3298" t="str">
        <f>"20180413"</f>
        <v>20180413</v>
      </c>
    </row>
    <row r="3299" spans="1:13" x14ac:dyDescent="0.25">
      <c r="A3299" t="str">
        <f>"00682620"</f>
        <v>00682620</v>
      </c>
      <c r="B3299" t="s">
        <v>1591</v>
      </c>
      <c r="C3299" t="s">
        <v>1592</v>
      </c>
      <c r="D3299" t="s">
        <v>31</v>
      </c>
      <c r="E3299" t="s">
        <v>26</v>
      </c>
      <c r="F3299" t="s">
        <v>17</v>
      </c>
      <c r="G3299" t="str">
        <f>"10"</f>
        <v>10</v>
      </c>
      <c r="H3299" t="str">
        <f>"3  "</f>
        <v xml:space="preserve">3  </v>
      </c>
      <c r="I3299" t="str">
        <f>"2019/12/06"</f>
        <v>2019/12/06</v>
      </c>
      <c r="J3299" t="str">
        <f>"534"</f>
        <v>534</v>
      </c>
      <c r="K3299" t="str">
        <f>"20201203"</f>
        <v>20201203</v>
      </c>
      <c r="L3299" t="s">
        <v>18</v>
      </c>
      <c r="M3299" t="str">
        <f>"20180604"</f>
        <v>20180604</v>
      </c>
    </row>
    <row r="3300" spans="1:13" x14ac:dyDescent="0.25">
      <c r="A3300" t="str">
        <f>"00279083"</f>
        <v>00279083</v>
      </c>
      <c r="B3300" t="s">
        <v>1601</v>
      </c>
      <c r="C3300" t="s">
        <v>1602</v>
      </c>
      <c r="D3300" t="s">
        <v>37</v>
      </c>
      <c r="E3300" t="s">
        <v>26</v>
      </c>
      <c r="F3300" t="s">
        <v>17</v>
      </c>
      <c r="G3300" t="str">
        <f>"10"</f>
        <v>10</v>
      </c>
      <c r="H3300" t="str">
        <f>"0  "</f>
        <v xml:space="preserve">0  </v>
      </c>
      <c r="I3300" t="str">
        <f>"2020/08/13"</f>
        <v>2020/08/13</v>
      </c>
      <c r="J3300" t="str">
        <f>"420"</f>
        <v>420</v>
      </c>
      <c r="K3300" t="s">
        <v>18</v>
      </c>
      <c r="L3300" t="s">
        <v>18</v>
      </c>
      <c r="M3300" t="s">
        <v>18</v>
      </c>
    </row>
    <row r="3301" spans="1:13" x14ac:dyDescent="0.25">
      <c r="A3301" t="str">
        <f>"00849263"</f>
        <v>00849263</v>
      </c>
      <c r="B3301" t="s">
        <v>1603</v>
      </c>
      <c r="C3301" t="s">
        <v>1604</v>
      </c>
      <c r="D3301" t="s">
        <v>40</v>
      </c>
      <c r="E3301" t="s">
        <v>26</v>
      </c>
      <c r="F3301" t="s">
        <v>17</v>
      </c>
      <c r="G3301" t="str">
        <f>"10"</f>
        <v>10</v>
      </c>
      <c r="H3301" t="str">
        <f>"3  "</f>
        <v xml:space="preserve">3  </v>
      </c>
      <c r="I3301" t="str">
        <f>"2020/05/26"</f>
        <v>2020/05/26</v>
      </c>
      <c r="J3301" t="str">
        <f>"110"</f>
        <v>110</v>
      </c>
      <c r="K3301" t="str">
        <f>"20211124"</f>
        <v>20211124</v>
      </c>
      <c r="L3301" t="s">
        <v>18</v>
      </c>
      <c r="M3301" t="str">
        <f>"20191231"</f>
        <v>20191231</v>
      </c>
    </row>
    <row r="3302" spans="1:13" x14ac:dyDescent="0.25">
      <c r="A3302" t="str">
        <f>"00351501"</f>
        <v>00351501</v>
      </c>
      <c r="B3302" t="s">
        <v>1607</v>
      </c>
      <c r="C3302" t="s">
        <v>1608</v>
      </c>
      <c r="D3302" t="s">
        <v>80</v>
      </c>
      <c r="E3302" t="s">
        <v>26</v>
      </c>
      <c r="F3302" t="s">
        <v>17</v>
      </c>
      <c r="G3302" t="str">
        <f>"10"</f>
        <v>10</v>
      </c>
      <c r="H3302" t="str">
        <f>"0  "</f>
        <v xml:space="preserve">0  </v>
      </c>
      <c r="I3302" t="str">
        <f>"2020/08/15"</f>
        <v>2020/08/15</v>
      </c>
      <c r="J3302" t="str">
        <f>"420"</f>
        <v>420</v>
      </c>
      <c r="K3302" t="s">
        <v>18</v>
      </c>
      <c r="L3302" t="s">
        <v>18</v>
      </c>
      <c r="M3302" t="s">
        <v>18</v>
      </c>
    </row>
    <row r="3303" spans="1:13" x14ac:dyDescent="0.25">
      <c r="A3303" t="str">
        <f>"00398290"</f>
        <v>00398290</v>
      </c>
      <c r="B3303" t="s">
        <v>1611</v>
      </c>
      <c r="C3303" t="s">
        <v>176</v>
      </c>
      <c r="D3303" t="s">
        <v>45</v>
      </c>
      <c r="E3303" t="s">
        <v>16</v>
      </c>
      <c r="F3303" t="s">
        <v>17</v>
      </c>
      <c r="G3303" t="str">
        <f>"10"</f>
        <v>10</v>
      </c>
      <c r="H3303" t="str">
        <f>"0  "</f>
        <v xml:space="preserve">0  </v>
      </c>
      <c r="I3303" t="str">
        <f>"2019/10/23"</f>
        <v>2019/10/23</v>
      </c>
      <c r="J3303" t="str">
        <f>"420"</f>
        <v>420</v>
      </c>
      <c r="K3303" t="s">
        <v>18</v>
      </c>
      <c r="L3303" t="s">
        <v>18</v>
      </c>
      <c r="M3303" t="s">
        <v>18</v>
      </c>
    </row>
    <row r="3304" spans="1:13" x14ac:dyDescent="0.25">
      <c r="A3304" t="str">
        <f>"00861655"</f>
        <v>00861655</v>
      </c>
      <c r="B3304" t="s">
        <v>1614</v>
      </c>
      <c r="C3304" t="s">
        <v>169</v>
      </c>
      <c r="D3304" t="s">
        <v>53</v>
      </c>
      <c r="E3304" t="s">
        <v>16</v>
      </c>
      <c r="F3304" t="s">
        <v>17</v>
      </c>
      <c r="G3304" t="str">
        <f>"10"</f>
        <v>10</v>
      </c>
      <c r="H3304" t="str">
        <f>"3  "</f>
        <v xml:space="preserve">3  </v>
      </c>
      <c r="I3304" t="str">
        <f>"2019/05/31"</f>
        <v>2019/05/31</v>
      </c>
      <c r="J3304" t="str">
        <f>"110"</f>
        <v>110</v>
      </c>
      <c r="K3304" t="str">
        <f>"20211203"</f>
        <v>20211203</v>
      </c>
      <c r="L3304" t="s">
        <v>18</v>
      </c>
      <c r="M3304" t="str">
        <f>"20170619"</f>
        <v>20170619</v>
      </c>
    </row>
    <row r="3305" spans="1:13" x14ac:dyDescent="0.25">
      <c r="A3305" t="str">
        <f>"00230695"</f>
        <v>00230695</v>
      </c>
      <c r="B3305" t="s">
        <v>1616</v>
      </c>
      <c r="C3305" t="s">
        <v>893</v>
      </c>
      <c r="D3305" t="s">
        <v>97</v>
      </c>
      <c r="E3305" t="s">
        <v>26</v>
      </c>
      <c r="F3305" t="s">
        <v>17</v>
      </c>
      <c r="G3305" t="str">
        <f>"10"</f>
        <v>10</v>
      </c>
      <c r="H3305" t="str">
        <f>"7  "</f>
        <v xml:space="preserve">7  </v>
      </c>
      <c r="I3305" t="str">
        <f>"2019/10/14"</f>
        <v>2019/10/14</v>
      </c>
      <c r="J3305" t="str">
        <f>"502"</f>
        <v>502</v>
      </c>
      <c r="K3305" t="s">
        <v>18</v>
      </c>
      <c r="L3305" t="str">
        <f>"20740104"</f>
        <v>20740104</v>
      </c>
      <c r="M3305" t="str">
        <f>"19881226"</f>
        <v>19881226</v>
      </c>
    </row>
    <row r="3306" spans="1:13" x14ac:dyDescent="0.25">
      <c r="A3306" t="str">
        <f>"00647523"</f>
        <v>00647523</v>
      </c>
      <c r="B3306" t="s">
        <v>1616</v>
      </c>
      <c r="C3306" t="s">
        <v>811</v>
      </c>
      <c r="D3306" t="s">
        <v>40</v>
      </c>
      <c r="E3306" t="s">
        <v>26</v>
      </c>
      <c r="F3306" t="s">
        <v>17</v>
      </c>
      <c r="G3306" t="str">
        <f>"10"</f>
        <v>10</v>
      </c>
      <c r="H3306" t="str">
        <f>"3  "</f>
        <v xml:space="preserve">3  </v>
      </c>
      <c r="I3306" t="str">
        <f>"2020/03/18"</f>
        <v>2020/03/18</v>
      </c>
      <c r="J3306" t="str">
        <f>"512"</f>
        <v>512</v>
      </c>
      <c r="K3306" t="str">
        <f>"20390828"</f>
        <v>20390828</v>
      </c>
      <c r="L3306" t="s">
        <v>18</v>
      </c>
      <c r="M3306" t="str">
        <f>"20200215"</f>
        <v>20200215</v>
      </c>
    </row>
    <row r="3307" spans="1:13" x14ac:dyDescent="0.25">
      <c r="A3307" t="str">
        <f>"00303443"</f>
        <v>00303443</v>
      </c>
      <c r="B3307" t="s">
        <v>1621</v>
      </c>
      <c r="C3307" t="s">
        <v>353</v>
      </c>
      <c r="D3307" t="s">
        <v>51</v>
      </c>
      <c r="E3307" t="s">
        <v>26</v>
      </c>
      <c r="F3307" t="s">
        <v>17</v>
      </c>
      <c r="G3307" t="str">
        <f>"10"</f>
        <v>10</v>
      </c>
      <c r="H3307" t="str">
        <f>"1  "</f>
        <v xml:space="preserve">1  </v>
      </c>
      <c r="I3307" t="str">
        <f>"2020/06/30"</f>
        <v>2020/06/30</v>
      </c>
      <c r="J3307" t="str">
        <f>"120"</f>
        <v>120</v>
      </c>
      <c r="K3307" t="str">
        <f>"20201207"</f>
        <v>20201207</v>
      </c>
      <c r="L3307" t="s">
        <v>18</v>
      </c>
      <c r="M3307" t="str">
        <f>"20200620"</f>
        <v>20200620</v>
      </c>
    </row>
    <row r="3308" spans="1:13" x14ac:dyDescent="0.25">
      <c r="A3308" t="str">
        <f>"00519426"</f>
        <v>00519426</v>
      </c>
      <c r="B3308" t="s">
        <v>1621</v>
      </c>
      <c r="C3308" t="s">
        <v>1623</v>
      </c>
      <c r="D3308" t="s">
        <v>25</v>
      </c>
      <c r="E3308" t="s">
        <v>26</v>
      </c>
      <c r="F3308" t="s">
        <v>17</v>
      </c>
      <c r="G3308" t="str">
        <f>"10"</f>
        <v>10</v>
      </c>
      <c r="H3308" t="str">
        <f>"3  "</f>
        <v xml:space="preserve">3  </v>
      </c>
      <c r="I3308" t="str">
        <f>"2013/11/26"</f>
        <v>2013/11/26</v>
      </c>
      <c r="J3308" t="str">
        <f>"110"</f>
        <v>110</v>
      </c>
      <c r="K3308" t="str">
        <f>"20221227"</f>
        <v>20221227</v>
      </c>
      <c r="L3308" t="s">
        <v>18</v>
      </c>
      <c r="M3308" t="str">
        <f>"20131106"</f>
        <v>20131106</v>
      </c>
    </row>
    <row r="3309" spans="1:13" x14ac:dyDescent="0.25">
      <c r="A3309" t="str">
        <f>"00705519"</f>
        <v>00705519</v>
      </c>
      <c r="B3309" t="s">
        <v>1621</v>
      </c>
      <c r="C3309" t="s">
        <v>1624</v>
      </c>
      <c r="D3309" t="s">
        <v>53</v>
      </c>
      <c r="E3309" t="s">
        <v>26</v>
      </c>
      <c r="F3309" t="s">
        <v>17</v>
      </c>
      <c r="G3309" t="str">
        <f>"10"</f>
        <v>10</v>
      </c>
      <c r="H3309" t="str">
        <f>"3  "</f>
        <v xml:space="preserve">3  </v>
      </c>
      <c r="I3309" t="str">
        <f>"2020/09/17"</f>
        <v>2020/09/17</v>
      </c>
      <c r="J3309" t="str">
        <f>"120"</f>
        <v>120</v>
      </c>
      <c r="K3309" t="str">
        <f>"20220429"</f>
        <v>20220429</v>
      </c>
      <c r="L3309" t="s">
        <v>18</v>
      </c>
      <c r="M3309" t="str">
        <f>"20200630"</f>
        <v>20200630</v>
      </c>
    </row>
    <row r="3310" spans="1:13" x14ac:dyDescent="0.25">
      <c r="A3310" t="str">
        <f>"00153402"</f>
        <v>00153402</v>
      </c>
      <c r="B3310" t="s">
        <v>1630</v>
      </c>
      <c r="C3310" t="s">
        <v>44</v>
      </c>
      <c r="D3310" t="s">
        <v>97</v>
      </c>
      <c r="E3310" t="s">
        <v>26</v>
      </c>
      <c r="F3310" t="s">
        <v>17</v>
      </c>
      <c r="G3310" t="str">
        <f>"10"</f>
        <v>10</v>
      </c>
      <c r="H3310" t="str">
        <f>"0  "</f>
        <v xml:space="preserve">0  </v>
      </c>
      <c r="I3310" t="str">
        <f>"2020/04/14"</f>
        <v>2020/04/14</v>
      </c>
      <c r="J3310" t="str">
        <f>"420"</f>
        <v>420</v>
      </c>
      <c r="K3310" t="s">
        <v>18</v>
      </c>
      <c r="L3310" t="s">
        <v>18</v>
      </c>
      <c r="M3310" t="s">
        <v>18</v>
      </c>
    </row>
    <row r="3311" spans="1:13" x14ac:dyDescent="0.25">
      <c r="A3311" t="str">
        <f>"00657501"</f>
        <v>00657501</v>
      </c>
      <c r="B3311" t="s">
        <v>1632</v>
      </c>
      <c r="C3311" t="s">
        <v>860</v>
      </c>
      <c r="D3311" t="s">
        <v>25</v>
      </c>
      <c r="E3311" t="s">
        <v>26</v>
      </c>
      <c r="F3311" t="s">
        <v>17</v>
      </c>
      <c r="G3311" t="str">
        <f>"10"</f>
        <v>10</v>
      </c>
      <c r="H3311" t="str">
        <f>"3  "</f>
        <v xml:space="preserve">3  </v>
      </c>
      <c r="I3311" t="str">
        <f>"2018/09/28"</f>
        <v>2018/09/28</v>
      </c>
      <c r="J3311" t="str">
        <f>"110"</f>
        <v>110</v>
      </c>
      <c r="K3311" t="str">
        <f>"20221211"</f>
        <v>20221211</v>
      </c>
      <c r="L3311" t="s">
        <v>18</v>
      </c>
      <c r="M3311" t="str">
        <f>"20180714"</f>
        <v>20180714</v>
      </c>
    </row>
    <row r="3312" spans="1:13" x14ac:dyDescent="0.25">
      <c r="A3312" t="str">
        <f>"00460194"</f>
        <v>00460194</v>
      </c>
      <c r="B3312" t="s">
        <v>1634</v>
      </c>
      <c r="C3312" t="s">
        <v>125</v>
      </c>
      <c r="D3312" t="s">
        <v>15</v>
      </c>
      <c r="E3312" t="s">
        <v>26</v>
      </c>
      <c r="F3312" t="s">
        <v>17</v>
      </c>
      <c r="G3312" t="str">
        <f>"10"</f>
        <v>10</v>
      </c>
      <c r="H3312" t="str">
        <f>"3  "</f>
        <v xml:space="preserve">3  </v>
      </c>
      <c r="I3312" t="str">
        <f>"2014/05/07"</f>
        <v>2014/05/07</v>
      </c>
      <c r="J3312" t="str">
        <f>"110"</f>
        <v>110</v>
      </c>
      <c r="K3312" t="str">
        <f>"20230711"</f>
        <v>20230711</v>
      </c>
      <c r="L3312" t="s">
        <v>18</v>
      </c>
      <c r="M3312" t="str">
        <f>"20140420"</f>
        <v>20140420</v>
      </c>
    </row>
    <row r="3313" spans="1:13" x14ac:dyDescent="0.25">
      <c r="A3313" t="str">
        <f>"00589815"</f>
        <v>00589815</v>
      </c>
      <c r="B3313" t="s">
        <v>1639</v>
      </c>
      <c r="C3313" t="s">
        <v>118</v>
      </c>
      <c r="D3313" t="s">
        <v>51</v>
      </c>
      <c r="E3313" t="s">
        <v>26</v>
      </c>
      <c r="F3313" t="s">
        <v>17</v>
      </c>
      <c r="G3313" t="str">
        <f>"10"</f>
        <v>10</v>
      </c>
      <c r="H3313" t="str">
        <f>"0  "</f>
        <v xml:space="preserve">0  </v>
      </c>
      <c r="I3313" t="str">
        <f>"2020/09/09"</f>
        <v>2020/09/09</v>
      </c>
      <c r="J3313" t="str">
        <f>"420"</f>
        <v>420</v>
      </c>
      <c r="K3313" t="s">
        <v>18</v>
      </c>
      <c r="L3313" t="s">
        <v>18</v>
      </c>
      <c r="M3313" t="s">
        <v>18</v>
      </c>
    </row>
    <row r="3314" spans="1:13" x14ac:dyDescent="0.25">
      <c r="A3314" t="str">
        <f>"00483517"</f>
        <v>00483517</v>
      </c>
      <c r="B3314" t="s">
        <v>1641</v>
      </c>
      <c r="C3314" t="s">
        <v>1642</v>
      </c>
      <c r="D3314" t="s">
        <v>25</v>
      </c>
      <c r="E3314" t="s">
        <v>16</v>
      </c>
      <c r="F3314" t="s">
        <v>17</v>
      </c>
      <c r="G3314" t="str">
        <f>"10"</f>
        <v>10</v>
      </c>
      <c r="H3314" t="str">
        <f>"3  "</f>
        <v xml:space="preserve">3  </v>
      </c>
      <c r="I3314" t="str">
        <f>"2019/07/26"</f>
        <v>2019/07/26</v>
      </c>
      <c r="J3314" t="str">
        <f>"110"</f>
        <v>110</v>
      </c>
      <c r="K3314" t="str">
        <f>"20221201"</f>
        <v>20221201</v>
      </c>
      <c r="L3314" t="s">
        <v>18</v>
      </c>
      <c r="M3314" t="str">
        <f>"20190715"</f>
        <v>20190715</v>
      </c>
    </row>
    <row r="3315" spans="1:13" x14ac:dyDescent="0.25">
      <c r="A3315" t="str">
        <f>"00906598"</f>
        <v>00906598</v>
      </c>
      <c r="B3315" t="s">
        <v>1643</v>
      </c>
      <c r="C3315" t="s">
        <v>1168</v>
      </c>
      <c r="D3315" t="s">
        <v>25</v>
      </c>
      <c r="E3315" t="s">
        <v>26</v>
      </c>
      <c r="F3315" t="s">
        <v>17</v>
      </c>
      <c r="G3315" t="str">
        <f>"10"</f>
        <v>10</v>
      </c>
      <c r="H3315" t="str">
        <f>"3  "</f>
        <v xml:space="preserve">3  </v>
      </c>
      <c r="I3315" t="str">
        <f>"2020/02/03"</f>
        <v>2020/02/03</v>
      </c>
      <c r="J3315" t="str">
        <f>"110"</f>
        <v>110</v>
      </c>
      <c r="K3315" t="str">
        <f>"20231123"</f>
        <v>20231123</v>
      </c>
      <c r="L3315" t="s">
        <v>18</v>
      </c>
      <c r="M3315" t="str">
        <f>"20190516"</f>
        <v>20190516</v>
      </c>
    </row>
    <row r="3316" spans="1:13" x14ac:dyDescent="0.25">
      <c r="A3316" t="str">
        <f>"00933071"</f>
        <v>00933071</v>
      </c>
      <c r="B3316" t="s">
        <v>1644</v>
      </c>
      <c r="C3316" t="s">
        <v>1084</v>
      </c>
      <c r="D3316" t="s">
        <v>25</v>
      </c>
      <c r="E3316" t="s">
        <v>26</v>
      </c>
      <c r="F3316" t="s">
        <v>17</v>
      </c>
      <c r="G3316" t="str">
        <f>"10"</f>
        <v>10</v>
      </c>
      <c r="H3316" t="str">
        <f>"0  "</f>
        <v xml:space="preserve">0  </v>
      </c>
      <c r="I3316" t="str">
        <f>"2020/07/16"</f>
        <v>2020/07/16</v>
      </c>
      <c r="J3316" t="str">
        <f>"420"</f>
        <v>420</v>
      </c>
      <c r="K3316" t="s">
        <v>18</v>
      </c>
      <c r="L3316" t="s">
        <v>18</v>
      </c>
      <c r="M3316" t="s">
        <v>18</v>
      </c>
    </row>
    <row r="3317" spans="1:13" x14ac:dyDescent="0.25">
      <c r="A3317" t="str">
        <f>"00561662"</f>
        <v>00561662</v>
      </c>
      <c r="B3317" t="s">
        <v>1653</v>
      </c>
      <c r="C3317" t="s">
        <v>1654</v>
      </c>
      <c r="D3317" t="s">
        <v>31</v>
      </c>
      <c r="E3317" t="s">
        <v>26</v>
      </c>
      <c r="F3317" t="s">
        <v>17</v>
      </c>
      <c r="G3317" t="str">
        <f>"10"</f>
        <v>10</v>
      </c>
      <c r="H3317" t="str">
        <f>"0  "</f>
        <v xml:space="preserve">0  </v>
      </c>
      <c r="I3317" t="str">
        <f>"2019/09/20"</f>
        <v>2019/09/20</v>
      </c>
      <c r="J3317" t="str">
        <f>"420"</f>
        <v>420</v>
      </c>
      <c r="K3317" t="s">
        <v>18</v>
      </c>
      <c r="L3317" t="s">
        <v>18</v>
      </c>
      <c r="M3317" t="s">
        <v>18</v>
      </c>
    </row>
    <row r="3318" spans="1:13" x14ac:dyDescent="0.25">
      <c r="A3318" t="str">
        <f>"00516471"</f>
        <v>00516471</v>
      </c>
      <c r="B3318" t="s">
        <v>1655</v>
      </c>
      <c r="C3318" t="s">
        <v>1656</v>
      </c>
      <c r="D3318" t="s">
        <v>73</v>
      </c>
      <c r="E3318" t="s">
        <v>26</v>
      </c>
      <c r="F3318" t="s">
        <v>17</v>
      </c>
      <c r="G3318" t="str">
        <f>"10"</f>
        <v>10</v>
      </c>
      <c r="H3318" t="str">
        <f>"0  "</f>
        <v xml:space="preserve">0  </v>
      </c>
      <c r="I3318" t="str">
        <f>"2020/08/08"</f>
        <v>2020/08/08</v>
      </c>
      <c r="J3318" t="str">
        <f>"420"</f>
        <v>420</v>
      </c>
      <c r="K3318" t="s">
        <v>18</v>
      </c>
      <c r="L3318" t="s">
        <v>18</v>
      </c>
      <c r="M3318" t="s">
        <v>18</v>
      </c>
    </row>
    <row r="3319" spans="1:13" x14ac:dyDescent="0.25">
      <c r="A3319" t="str">
        <f>"00159306"</f>
        <v>00159306</v>
      </c>
      <c r="B3319" t="s">
        <v>1657</v>
      </c>
      <c r="C3319" t="s">
        <v>249</v>
      </c>
      <c r="D3319" t="s">
        <v>40</v>
      </c>
      <c r="E3319" t="s">
        <v>16</v>
      </c>
      <c r="F3319" t="s">
        <v>17</v>
      </c>
      <c r="G3319" t="str">
        <f>"10"</f>
        <v>10</v>
      </c>
      <c r="H3319" t="str">
        <f>"0  "</f>
        <v xml:space="preserve">0  </v>
      </c>
      <c r="I3319" t="str">
        <f>"2020/02/13"</f>
        <v>2020/02/13</v>
      </c>
      <c r="J3319" t="str">
        <f>"420"</f>
        <v>420</v>
      </c>
      <c r="K3319" t="s">
        <v>18</v>
      </c>
      <c r="L3319" t="s">
        <v>18</v>
      </c>
      <c r="M3319" t="s">
        <v>18</v>
      </c>
    </row>
    <row r="3320" spans="1:13" x14ac:dyDescent="0.25">
      <c r="A3320" t="str">
        <f>"00819849"</f>
        <v>00819849</v>
      </c>
      <c r="B3320" t="s">
        <v>1663</v>
      </c>
      <c r="C3320" t="s">
        <v>1312</v>
      </c>
      <c r="D3320" t="s">
        <v>25</v>
      </c>
      <c r="E3320" t="s">
        <v>16</v>
      </c>
      <c r="F3320" t="s">
        <v>17</v>
      </c>
      <c r="G3320" t="str">
        <f>"10"</f>
        <v>10</v>
      </c>
      <c r="H3320" t="str">
        <f>"0  "</f>
        <v xml:space="preserve">0  </v>
      </c>
      <c r="I3320" t="str">
        <f>"2020/06/09"</f>
        <v>2020/06/09</v>
      </c>
      <c r="J3320" t="str">
        <f>"420"</f>
        <v>420</v>
      </c>
      <c r="K3320" t="s">
        <v>18</v>
      </c>
      <c r="L3320" t="s">
        <v>18</v>
      </c>
      <c r="M3320" t="s">
        <v>18</v>
      </c>
    </row>
    <row r="3321" spans="1:13" x14ac:dyDescent="0.25">
      <c r="A3321" t="str">
        <f>"00642743"</f>
        <v>00642743</v>
      </c>
      <c r="B3321" t="s">
        <v>1674</v>
      </c>
      <c r="C3321" t="s">
        <v>1675</v>
      </c>
      <c r="D3321" t="s">
        <v>31</v>
      </c>
      <c r="E3321" t="s">
        <v>26</v>
      </c>
      <c r="F3321" t="s">
        <v>17</v>
      </c>
      <c r="G3321" t="str">
        <f>"10"</f>
        <v>10</v>
      </c>
      <c r="H3321" t="str">
        <f>"0  "</f>
        <v xml:space="preserve">0  </v>
      </c>
      <c r="I3321" t="str">
        <f>"2019/07/24"</f>
        <v>2019/07/24</v>
      </c>
      <c r="J3321" t="str">
        <f>"420"</f>
        <v>420</v>
      </c>
      <c r="K3321" t="s">
        <v>18</v>
      </c>
      <c r="L3321" t="s">
        <v>18</v>
      </c>
      <c r="M3321" t="s">
        <v>18</v>
      </c>
    </row>
    <row r="3322" spans="1:13" x14ac:dyDescent="0.25">
      <c r="A3322" t="str">
        <f>"00323661"</f>
        <v>00323661</v>
      </c>
      <c r="B3322" t="s">
        <v>1680</v>
      </c>
      <c r="C3322" t="s">
        <v>526</v>
      </c>
      <c r="D3322" t="s">
        <v>61</v>
      </c>
      <c r="E3322" t="s">
        <v>16</v>
      </c>
      <c r="F3322" t="s">
        <v>17</v>
      </c>
      <c r="G3322" t="str">
        <f>"10"</f>
        <v>10</v>
      </c>
      <c r="H3322" t="str">
        <f>"3  "</f>
        <v xml:space="preserve">3  </v>
      </c>
      <c r="I3322" t="str">
        <f>"2017/05/11"</f>
        <v>2017/05/11</v>
      </c>
      <c r="J3322" t="str">
        <f>"110"</f>
        <v>110</v>
      </c>
      <c r="K3322" t="str">
        <f>"20210515"</f>
        <v>20210515</v>
      </c>
      <c r="L3322" t="s">
        <v>18</v>
      </c>
      <c r="M3322" t="str">
        <f>"20170209"</f>
        <v>20170209</v>
      </c>
    </row>
    <row r="3323" spans="1:13" x14ac:dyDescent="0.25">
      <c r="A3323" t="str">
        <f>"00706241"</f>
        <v>00706241</v>
      </c>
      <c r="B3323" t="s">
        <v>1681</v>
      </c>
      <c r="C3323" t="s">
        <v>492</v>
      </c>
      <c r="D3323" t="s">
        <v>61</v>
      </c>
      <c r="E3323" t="s">
        <v>26</v>
      </c>
      <c r="F3323" t="s">
        <v>17</v>
      </c>
      <c r="G3323" t="str">
        <f>"10"</f>
        <v>10</v>
      </c>
      <c r="H3323" t="str">
        <f>"0  "</f>
        <v xml:space="preserve">0  </v>
      </c>
      <c r="I3323" t="str">
        <f>"2020/06/26"</f>
        <v>2020/06/26</v>
      </c>
      <c r="J3323" t="str">
        <f>"420"</f>
        <v>420</v>
      </c>
      <c r="K3323" t="s">
        <v>18</v>
      </c>
      <c r="L3323" t="s">
        <v>18</v>
      </c>
      <c r="M3323" t="s">
        <v>18</v>
      </c>
    </row>
    <row r="3324" spans="1:13" x14ac:dyDescent="0.25">
      <c r="A3324" t="str">
        <f>"00780015"</f>
        <v>00780015</v>
      </c>
      <c r="B3324" t="s">
        <v>1681</v>
      </c>
      <c r="C3324" t="s">
        <v>1683</v>
      </c>
      <c r="D3324" t="s">
        <v>215</v>
      </c>
      <c r="E3324" t="s">
        <v>26</v>
      </c>
      <c r="F3324" t="s">
        <v>17</v>
      </c>
      <c r="G3324" t="str">
        <f>"10"</f>
        <v>10</v>
      </c>
      <c r="H3324" t="str">
        <f>"3  "</f>
        <v xml:space="preserve">3  </v>
      </c>
      <c r="I3324" t="str">
        <f>"2019/11/04"</f>
        <v>2019/11/04</v>
      </c>
      <c r="J3324" t="str">
        <f>"110"</f>
        <v>110</v>
      </c>
      <c r="K3324" t="str">
        <f>"20230929"</f>
        <v>20230929</v>
      </c>
      <c r="L3324" t="s">
        <v>18</v>
      </c>
      <c r="M3324" t="str">
        <f>"20190517"</f>
        <v>20190517</v>
      </c>
    </row>
    <row r="3325" spans="1:13" x14ac:dyDescent="0.25">
      <c r="A3325" t="str">
        <f>"00887389"</f>
        <v>00887389</v>
      </c>
      <c r="B3325" t="s">
        <v>1684</v>
      </c>
      <c r="C3325" t="s">
        <v>66</v>
      </c>
      <c r="D3325" t="s">
        <v>16</v>
      </c>
      <c r="E3325" t="s">
        <v>16</v>
      </c>
      <c r="F3325" t="s">
        <v>17</v>
      </c>
      <c r="G3325" t="str">
        <f>"10"</f>
        <v>10</v>
      </c>
      <c r="H3325" t="str">
        <f>"0  "</f>
        <v xml:space="preserve">0  </v>
      </c>
      <c r="I3325" t="str">
        <f>"2020/08/19"</f>
        <v>2020/08/19</v>
      </c>
      <c r="J3325" t="str">
        <f>"420"</f>
        <v>420</v>
      </c>
      <c r="K3325" t="s">
        <v>18</v>
      </c>
      <c r="L3325" t="s">
        <v>18</v>
      </c>
      <c r="M3325" t="s">
        <v>18</v>
      </c>
    </row>
    <row r="3326" spans="1:13" x14ac:dyDescent="0.25">
      <c r="A3326" t="str">
        <f>"00285264"</f>
        <v>00285264</v>
      </c>
      <c r="B3326" t="s">
        <v>1685</v>
      </c>
      <c r="C3326" t="s">
        <v>117</v>
      </c>
      <c r="D3326" t="s">
        <v>51</v>
      </c>
      <c r="E3326" t="s">
        <v>16</v>
      </c>
      <c r="F3326" t="s">
        <v>17</v>
      </c>
      <c r="G3326" t="str">
        <f>"10"</f>
        <v>10</v>
      </c>
      <c r="H3326" t="str">
        <f>"0  "</f>
        <v xml:space="preserve">0  </v>
      </c>
      <c r="I3326" t="str">
        <f>"2020/09/13"</f>
        <v>2020/09/13</v>
      </c>
      <c r="J3326" t="str">
        <f>"420"</f>
        <v>420</v>
      </c>
      <c r="K3326" t="s">
        <v>18</v>
      </c>
      <c r="L3326" t="s">
        <v>18</v>
      </c>
      <c r="M3326" t="s">
        <v>18</v>
      </c>
    </row>
    <row r="3327" spans="1:13" x14ac:dyDescent="0.25">
      <c r="A3327" t="str">
        <f>"00566230"</f>
        <v>00566230</v>
      </c>
      <c r="B3327" t="s">
        <v>1685</v>
      </c>
      <c r="C3327" t="s">
        <v>269</v>
      </c>
      <c r="D3327" t="s">
        <v>40</v>
      </c>
      <c r="E3327" t="s">
        <v>16</v>
      </c>
      <c r="F3327" t="s">
        <v>17</v>
      </c>
      <c r="G3327" t="str">
        <f>"10"</f>
        <v>10</v>
      </c>
      <c r="H3327" t="str">
        <f>"3  "</f>
        <v xml:space="preserve">3  </v>
      </c>
      <c r="I3327" t="str">
        <f>"2020/01/06"</f>
        <v>2020/01/06</v>
      </c>
      <c r="J3327" t="str">
        <f>"110"</f>
        <v>110</v>
      </c>
      <c r="K3327" t="str">
        <f>"20220522"</f>
        <v>20220522</v>
      </c>
      <c r="L3327" t="s">
        <v>18</v>
      </c>
      <c r="M3327" t="str">
        <f>"20191002"</f>
        <v>20191002</v>
      </c>
    </row>
    <row r="3328" spans="1:13" x14ac:dyDescent="0.25">
      <c r="A3328" t="str">
        <f>"00845649"</f>
        <v>00845649</v>
      </c>
      <c r="B3328" t="s">
        <v>1687</v>
      </c>
      <c r="C3328" t="s">
        <v>168</v>
      </c>
      <c r="D3328" t="s">
        <v>97</v>
      </c>
      <c r="E3328" t="s">
        <v>26</v>
      </c>
      <c r="F3328" t="s">
        <v>17</v>
      </c>
      <c r="G3328" t="str">
        <f>"10"</f>
        <v>10</v>
      </c>
      <c r="H3328" t="str">
        <f>"1  "</f>
        <v xml:space="preserve">1  </v>
      </c>
      <c r="I3328" t="str">
        <f>"2020/09/15"</f>
        <v>2020/09/15</v>
      </c>
      <c r="J3328" t="str">
        <f>"120"</f>
        <v>120</v>
      </c>
      <c r="K3328" t="str">
        <f>"20201003"</f>
        <v>20201003</v>
      </c>
      <c r="L3328" t="s">
        <v>18</v>
      </c>
      <c r="M3328" t="str">
        <f>"20200906"</f>
        <v>20200906</v>
      </c>
    </row>
    <row r="3329" spans="1:13" x14ac:dyDescent="0.25">
      <c r="A3329" t="str">
        <f>"00507786"</f>
        <v>00507786</v>
      </c>
      <c r="B3329" t="s">
        <v>1691</v>
      </c>
      <c r="C3329" t="s">
        <v>1693</v>
      </c>
      <c r="D3329" t="s">
        <v>45</v>
      </c>
      <c r="E3329" t="s">
        <v>26</v>
      </c>
      <c r="F3329" t="s">
        <v>17</v>
      </c>
      <c r="G3329" t="str">
        <f>"10"</f>
        <v>10</v>
      </c>
      <c r="H3329" t="str">
        <f>"0  "</f>
        <v xml:space="preserve">0  </v>
      </c>
      <c r="I3329" t="str">
        <f>"2020/01/08"</f>
        <v>2020/01/08</v>
      </c>
      <c r="J3329" t="str">
        <f>"420"</f>
        <v>420</v>
      </c>
      <c r="K3329" t="s">
        <v>18</v>
      </c>
      <c r="L3329" t="s">
        <v>18</v>
      </c>
      <c r="M3329" t="s">
        <v>18</v>
      </c>
    </row>
    <row r="3330" spans="1:13" x14ac:dyDescent="0.25">
      <c r="A3330" t="str">
        <f>"00301509"</f>
        <v>00301509</v>
      </c>
      <c r="B3330" t="s">
        <v>1691</v>
      </c>
      <c r="C3330" t="s">
        <v>755</v>
      </c>
      <c r="D3330" t="s">
        <v>40</v>
      </c>
      <c r="E3330" t="s">
        <v>16</v>
      </c>
      <c r="F3330" t="s">
        <v>17</v>
      </c>
      <c r="G3330" t="str">
        <f>"10"</f>
        <v>10</v>
      </c>
      <c r="H3330" t="str">
        <f>"0  "</f>
        <v xml:space="preserve">0  </v>
      </c>
      <c r="I3330" t="str">
        <f>"2019/10/16"</f>
        <v>2019/10/16</v>
      </c>
      <c r="J3330" t="str">
        <f>"420"</f>
        <v>420</v>
      </c>
      <c r="K3330" t="s">
        <v>18</v>
      </c>
      <c r="L3330" t="s">
        <v>18</v>
      </c>
      <c r="M3330" t="s">
        <v>18</v>
      </c>
    </row>
    <row r="3331" spans="1:13" x14ac:dyDescent="0.25">
      <c r="A3331" t="str">
        <f>"00713648"</f>
        <v>00713648</v>
      </c>
      <c r="B3331" t="s">
        <v>1695</v>
      </c>
      <c r="C3331" t="s">
        <v>1696</v>
      </c>
      <c r="D3331" t="s">
        <v>31</v>
      </c>
      <c r="E3331" t="s">
        <v>26</v>
      </c>
      <c r="F3331" t="s">
        <v>17</v>
      </c>
      <c r="G3331" t="str">
        <f>"10"</f>
        <v>10</v>
      </c>
      <c r="H3331" t="str">
        <f>"0  "</f>
        <v xml:space="preserve">0  </v>
      </c>
      <c r="I3331" t="str">
        <f>"2020/09/09"</f>
        <v>2020/09/09</v>
      </c>
      <c r="J3331" t="str">
        <f>"420"</f>
        <v>420</v>
      </c>
      <c r="K3331" t="s">
        <v>18</v>
      </c>
      <c r="L3331" t="s">
        <v>18</v>
      </c>
      <c r="M3331" t="s">
        <v>18</v>
      </c>
    </row>
    <row r="3332" spans="1:13" x14ac:dyDescent="0.25">
      <c r="A3332" t="str">
        <f>"00358002"</f>
        <v>00358002</v>
      </c>
      <c r="B3332" t="s">
        <v>1695</v>
      </c>
      <c r="C3332" t="s">
        <v>1697</v>
      </c>
      <c r="D3332" t="s">
        <v>45</v>
      </c>
      <c r="E3332" t="s">
        <v>26</v>
      </c>
      <c r="F3332" t="s">
        <v>17</v>
      </c>
      <c r="G3332" t="str">
        <f>"10"</f>
        <v>10</v>
      </c>
      <c r="H3332" t="str">
        <f>"0  "</f>
        <v xml:space="preserve">0  </v>
      </c>
      <c r="I3332" t="str">
        <f>"2019/10/11"</f>
        <v>2019/10/11</v>
      </c>
      <c r="J3332" t="str">
        <f>"420"</f>
        <v>420</v>
      </c>
      <c r="K3332" t="s">
        <v>18</v>
      </c>
      <c r="L3332" t="s">
        <v>18</v>
      </c>
      <c r="M3332" t="s">
        <v>18</v>
      </c>
    </row>
    <row r="3333" spans="1:13" x14ac:dyDescent="0.25">
      <c r="A3333" t="str">
        <f>"00432409"</f>
        <v>00432409</v>
      </c>
      <c r="B3333" t="s">
        <v>1699</v>
      </c>
      <c r="C3333" t="s">
        <v>1250</v>
      </c>
      <c r="D3333" t="s">
        <v>53</v>
      </c>
      <c r="E3333" t="s">
        <v>26</v>
      </c>
      <c r="F3333" t="s">
        <v>17</v>
      </c>
      <c r="G3333" t="str">
        <f>"10"</f>
        <v>10</v>
      </c>
      <c r="H3333" t="str">
        <f>"0  "</f>
        <v xml:space="preserve">0  </v>
      </c>
      <c r="I3333" t="str">
        <f>"2020/09/11"</f>
        <v>2020/09/11</v>
      </c>
      <c r="J3333" t="str">
        <f>"420"</f>
        <v>420</v>
      </c>
      <c r="K3333" t="s">
        <v>18</v>
      </c>
      <c r="L3333" t="s">
        <v>18</v>
      </c>
      <c r="M3333" t="s">
        <v>18</v>
      </c>
    </row>
    <row r="3334" spans="1:13" x14ac:dyDescent="0.25">
      <c r="A3334" t="str">
        <f>"00588348"</f>
        <v>00588348</v>
      </c>
      <c r="B3334" t="s">
        <v>1699</v>
      </c>
      <c r="C3334" t="s">
        <v>755</v>
      </c>
      <c r="D3334" t="s">
        <v>25</v>
      </c>
      <c r="E3334" t="s">
        <v>26</v>
      </c>
      <c r="F3334" t="s">
        <v>17</v>
      </c>
      <c r="G3334" t="str">
        <f>"10"</f>
        <v>10</v>
      </c>
      <c r="H3334" t="str">
        <f>"3  "</f>
        <v xml:space="preserve">3  </v>
      </c>
      <c r="I3334" t="str">
        <f>"2014/09/08"</f>
        <v>2014/09/08</v>
      </c>
      <c r="J3334" t="str">
        <f>"110"</f>
        <v>110</v>
      </c>
      <c r="K3334" t="str">
        <f>"20220903"</f>
        <v>20220903</v>
      </c>
      <c r="L3334" t="s">
        <v>18</v>
      </c>
      <c r="M3334" t="str">
        <f>"20131003"</f>
        <v>20131003</v>
      </c>
    </row>
    <row r="3335" spans="1:13" x14ac:dyDescent="0.25">
      <c r="A3335" t="str">
        <f>"00276070"</f>
        <v>00276070</v>
      </c>
      <c r="B3335" t="s">
        <v>1699</v>
      </c>
      <c r="C3335" t="s">
        <v>125</v>
      </c>
      <c r="D3335" t="s">
        <v>37</v>
      </c>
      <c r="E3335" t="s">
        <v>26</v>
      </c>
      <c r="F3335" t="s">
        <v>17</v>
      </c>
      <c r="G3335" t="str">
        <f>"10"</f>
        <v>10</v>
      </c>
      <c r="H3335" t="str">
        <f>"3  "</f>
        <v xml:space="preserve">3  </v>
      </c>
      <c r="I3335" t="str">
        <f>"2020/07/31"</f>
        <v>2020/07/31</v>
      </c>
      <c r="J3335" t="str">
        <f>"110"</f>
        <v>110</v>
      </c>
      <c r="K3335" t="str">
        <f>"20210701"</f>
        <v>20210701</v>
      </c>
      <c r="L3335" t="s">
        <v>18</v>
      </c>
      <c r="M3335" t="str">
        <f>"20200731"</f>
        <v>20200731</v>
      </c>
    </row>
    <row r="3336" spans="1:13" x14ac:dyDescent="0.25">
      <c r="A3336" t="str">
        <f>"00526234"</f>
        <v>00526234</v>
      </c>
      <c r="B3336" t="s">
        <v>1704</v>
      </c>
      <c r="C3336" t="s">
        <v>99</v>
      </c>
      <c r="D3336" t="s">
        <v>25</v>
      </c>
      <c r="E3336" t="s">
        <v>26</v>
      </c>
      <c r="F3336" t="s">
        <v>17</v>
      </c>
      <c r="G3336" t="str">
        <f>"10"</f>
        <v>10</v>
      </c>
      <c r="H3336" t="str">
        <f>"3  "</f>
        <v xml:space="preserve">3  </v>
      </c>
      <c r="I3336" t="str">
        <f>"2018/09/07"</f>
        <v>2018/09/07</v>
      </c>
      <c r="J3336" t="str">
        <f>"533"</f>
        <v>533</v>
      </c>
      <c r="K3336" t="str">
        <f>"20220407"</f>
        <v>20220407</v>
      </c>
      <c r="L3336" t="s">
        <v>18</v>
      </c>
      <c r="M3336" t="str">
        <f>"20040419"</f>
        <v>20040419</v>
      </c>
    </row>
    <row r="3337" spans="1:13" x14ac:dyDescent="0.25">
      <c r="A3337" t="str">
        <f>"00407771"</f>
        <v>00407771</v>
      </c>
      <c r="B3337" t="s">
        <v>1710</v>
      </c>
      <c r="C3337" t="s">
        <v>140</v>
      </c>
      <c r="D3337" t="s">
        <v>40</v>
      </c>
      <c r="E3337" t="s">
        <v>16</v>
      </c>
      <c r="F3337" t="s">
        <v>17</v>
      </c>
      <c r="G3337" t="str">
        <f>"10"</f>
        <v>10</v>
      </c>
      <c r="H3337" t="str">
        <f>"3  "</f>
        <v xml:space="preserve">3  </v>
      </c>
      <c r="I3337" t="str">
        <f>"2019/03/21"</f>
        <v>2019/03/21</v>
      </c>
      <c r="J3337" t="str">
        <f>"110"</f>
        <v>110</v>
      </c>
      <c r="K3337" t="str">
        <f>"20220331"</f>
        <v>20220331</v>
      </c>
      <c r="L3337" t="s">
        <v>18</v>
      </c>
      <c r="M3337" t="str">
        <f>"20181129"</f>
        <v>20181129</v>
      </c>
    </row>
    <row r="3338" spans="1:13" x14ac:dyDescent="0.25">
      <c r="A3338" t="str">
        <f>"00465400"</f>
        <v>00465400</v>
      </c>
      <c r="B3338" t="s">
        <v>1711</v>
      </c>
      <c r="C3338" t="s">
        <v>1713</v>
      </c>
      <c r="D3338" t="s">
        <v>25</v>
      </c>
      <c r="E3338" t="s">
        <v>26</v>
      </c>
      <c r="F3338" t="s">
        <v>17</v>
      </c>
      <c r="G3338" t="str">
        <f>"10"</f>
        <v>10</v>
      </c>
      <c r="H3338" t="str">
        <f>"0  "</f>
        <v xml:space="preserve">0  </v>
      </c>
      <c r="I3338" t="str">
        <f>"2020/09/22"</f>
        <v>2020/09/22</v>
      </c>
      <c r="J3338" t="str">
        <f>"440"</f>
        <v>440</v>
      </c>
      <c r="K3338" t="s">
        <v>18</v>
      </c>
      <c r="L3338" t="s">
        <v>18</v>
      </c>
      <c r="M3338" t="s">
        <v>18</v>
      </c>
    </row>
    <row r="3339" spans="1:13" x14ac:dyDescent="0.25">
      <c r="A3339" t="str">
        <f>"00814176"</f>
        <v>00814176</v>
      </c>
      <c r="B3339" t="s">
        <v>1714</v>
      </c>
      <c r="C3339" t="s">
        <v>1715</v>
      </c>
      <c r="D3339" t="s">
        <v>215</v>
      </c>
      <c r="E3339" t="s">
        <v>26</v>
      </c>
      <c r="F3339" t="s">
        <v>17</v>
      </c>
      <c r="G3339" t="str">
        <f>"10"</f>
        <v>10</v>
      </c>
      <c r="H3339" t="str">
        <f>"0  "</f>
        <v xml:space="preserve">0  </v>
      </c>
      <c r="I3339" t="str">
        <f>"2020/08/13"</f>
        <v>2020/08/13</v>
      </c>
      <c r="J3339" t="str">
        <f>"420"</f>
        <v>420</v>
      </c>
      <c r="K3339" t="s">
        <v>18</v>
      </c>
      <c r="L3339" t="s">
        <v>18</v>
      </c>
      <c r="M3339" t="s">
        <v>18</v>
      </c>
    </row>
    <row r="3340" spans="1:13" x14ac:dyDescent="0.25">
      <c r="A3340" t="str">
        <f>"00559620"</f>
        <v>00559620</v>
      </c>
      <c r="B3340" t="s">
        <v>1730</v>
      </c>
      <c r="C3340" t="s">
        <v>74</v>
      </c>
      <c r="D3340" t="s">
        <v>53</v>
      </c>
      <c r="E3340" t="s">
        <v>26</v>
      </c>
      <c r="F3340" t="s">
        <v>17</v>
      </c>
      <c r="G3340" t="str">
        <f>"10"</f>
        <v>10</v>
      </c>
      <c r="H3340" t="str">
        <f>"3  "</f>
        <v xml:space="preserve">3  </v>
      </c>
      <c r="I3340" t="str">
        <f>"2019/07/12"</f>
        <v>2019/07/12</v>
      </c>
      <c r="J3340" t="str">
        <f>"110"</f>
        <v>110</v>
      </c>
      <c r="K3340" t="str">
        <f>"20210324"</f>
        <v>20210324</v>
      </c>
      <c r="L3340" t="s">
        <v>18</v>
      </c>
      <c r="M3340" t="str">
        <f>"20190430"</f>
        <v>20190430</v>
      </c>
    </row>
    <row r="3341" spans="1:13" x14ac:dyDescent="0.25">
      <c r="A3341" t="str">
        <f>"00230879"</f>
        <v>00230879</v>
      </c>
      <c r="B3341" t="s">
        <v>1731</v>
      </c>
      <c r="C3341" t="s">
        <v>48</v>
      </c>
      <c r="D3341" t="s">
        <v>25</v>
      </c>
      <c r="E3341" t="s">
        <v>16</v>
      </c>
      <c r="F3341" t="s">
        <v>17</v>
      </c>
      <c r="G3341" t="str">
        <f>"10"</f>
        <v>10</v>
      </c>
      <c r="H3341" t="str">
        <f>"3  "</f>
        <v xml:space="preserve">3  </v>
      </c>
      <c r="I3341" t="str">
        <f>"2015/05/26"</f>
        <v>2015/05/26</v>
      </c>
      <c r="J3341" t="str">
        <f>"110"</f>
        <v>110</v>
      </c>
      <c r="K3341" t="str">
        <f>"20221021"</f>
        <v>20221021</v>
      </c>
      <c r="L3341" t="s">
        <v>18</v>
      </c>
      <c r="M3341" t="str">
        <f>"20140605"</f>
        <v>20140605</v>
      </c>
    </row>
    <row r="3342" spans="1:13" x14ac:dyDescent="0.25">
      <c r="A3342" t="str">
        <f>"00445438"</f>
        <v>00445438</v>
      </c>
      <c r="B3342" t="s">
        <v>1732</v>
      </c>
      <c r="C3342" t="s">
        <v>524</v>
      </c>
      <c r="D3342" t="s">
        <v>61</v>
      </c>
      <c r="E3342" t="s">
        <v>16</v>
      </c>
      <c r="F3342" t="s">
        <v>17</v>
      </c>
      <c r="G3342" t="str">
        <f>"10"</f>
        <v>10</v>
      </c>
      <c r="H3342" t="str">
        <f>"3  "</f>
        <v xml:space="preserve">3  </v>
      </c>
      <c r="I3342" t="str">
        <f>"2019/09/06"</f>
        <v>2019/09/06</v>
      </c>
      <c r="J3342" t="str">
        <f>"120"</f>
        <v>120</v>
      </c>
      <c r="K3342" t="str">
        <f>"20210318"</f>
        <v>20210318</v>
      </c>
      <c r="L3342" t="s">
        <v>18</v>
      </c>
      <c r="M3342" t="str">
        <f>"20181121"</f>
        <v>20181121</v>
      </c>
    </row>
    <row r="3343" spans="1:13" x14ac:dyDescent="0.25">
      <c r="A3343" t="str">
        <f>"00330363"</f>
        <v>00330363</v>
      </c>
      <c r="B3343" t="s">
        <v>1734</v>
      </c>
      <c r="C3343" t="s">
        <v>66</v>
      </c>
      <c r="D3343" t="s">
        <v>121</v>
      </c>
      <c r="E3343" t="s">
        <v>16</v>
      </c>
      <c r="F3343" t="s">
        <v>17</v>
      </c>
      <c r="G3343" t="str">
        <f>"10"</f>
        <v>10</v>
      </c>
      <c r="H3343" t="str">
        <f>"3  "</f>
        <v xml:space="preserve">3  </v>
      </c>
      <c r="I3343" t="str">
        <f>"2017/05/26"</f>
        <v>2017/05/26</v>
      </c>
      <c r="J3343" t="str">
        <f>"110"</f>
        <v>110</v>
      </c>
      <c r="K3343" t="str">
        <f>"20251107"</f>
        <v>20251107</v>
      </c>
      <c r="L3343" t="s">
        <v>18</v>
      </c>
      <c r="M3343" t="str">
        <f>"20170407"</f>
        <v>20170407</v>
      </c>
    </row>
    <row r="3344" spans="1:13" x14ac:dyDescent="0.25">
      <c r="A3344" t="str">
        <f>"00559918"</f>
        <v>00559918</v>
      </c>
      <c r="B3344" t="s">
        <v>1738</v>
      </c>
      <c r="C3344" t="s">
        <v>398</v>
      </c>
      <c r="D3344" t="s">
        <v>25</v>
      </c>
      <c r="E3344" t="s">
        <v>26</v>
      </c>
      <c r="F3344" t="s">
        <v>17</v>
      </c>
      <c r="G3344" t="str">
        <f>"10"</f>
        <v>10</v>
      </c>
      <c r="H3344" t="str">
        <f>"0  "</f>
        <v xml:space="preserve">0  </v>
      </c>
      <c r="I3344" t="str">
        <f>"2020/09/21"</f>
        <v>2020/09/21</v>
      </c>
      <c r="J3344" t="str">
        <f>"420"</f>
        <v>420</v>
      </c>
      <c r="K3344" t="s">
        <v>18</v>
      </c>
      <c r="L3344" t="s">
        <v>18</v>
      </c>
      <c r="M3344" t="s">
        <v>18</v>
      </c>
    </row>
    <row r="3345" spans="1:13" x14ac:dyDescent="0.25">
      <c r="A3345" t="str">
        <f>"00764220"</f>
        <v>00764220</v>
      </c>
      <c r="B3345" t="s">
        <v>1739</v>
      </c>
      <c r="C3345" t="s">
        <v>1740</v>
      </c>
      <c r="D3345" t="s">
        <v>25</v>
      </c>
      <c r="E3345" t="s">
        <v>26</v>
      </c>
      <c r="F3345" t="s">
        <v>17</v>
      </c>
      <c r="G3345" t="str">
        <f>"10"</f>
        <v>10</v>
      </c>
      <c r="H3345" t="str">
        <f>"0  "</f>
        <v xml:space="preserve">0  </v>
      </c>
      <c r="I3345" t="str">
        <f>"2020/09/02"</f>
        <v>2020/09/02</v>
      </c>
      <c r="J3345" t="str">
        <f>"420"</f>
        <v>420</v>
      </c>
      <c r="K3345" t="s">
        <v>18</v>
      </c>
      <c r="L3345" t="s">
        <v>18</v>
      </c>
      <c r="M3345" t="s">
        <v>18</v>
      </c>
    </row>
    <row r="3346" spans="1:13" x14ac:dyDescent="0.25">
      <c r="A3346" t="str">
        <f>"00649220"</f>
        <v>00649220</v>
      </c>
      <c r="B3346" t="s">
        <v>1742</v>
      </c>
      <c r="C3346" t="s">
        <v>1743</v>
      </c>
      <c r="D3346" t="s">
        <v>15</v>
      </c>
      <c r="E3346" t="s">
        <v>26</v>
      </c>
      <c r="F3346" t="s">
        <v>17</v>
      </c>
      <c r="G3346" t="str">
        <f>"10"</f>
        <v>10</v>
      </c>
      <c r="H3346" t="str">
        <f>"3  "</f>
        <v xml:space="preserve">3  </v>
      </c>
      <c r="I3346" t="str">
        <f>"2017/10/18"</f>
        <v>2017/10/18</v>
      </c>
      <c r="J3346" t="str">
        <f>"110"</f>
        <v>110</v>
      </c>
      <c r="K3346" t="str">
        <f>"20220127"</f>
        <v>20220127</v>
      </c>
      <c r="L3346" t="s">
        <v>18</v>
      </c>
      <c r="M3346" t="str">
        <f>"20170922"</f>
        <v>20170922</v>
      </c>
    </row>
    <row r="3347" spans="1:13" x14ac:dyDescent="0.25">
      <c r="A3347" t="str">
        <f>"00780058"</f>
        <v>00780058</v>
      </c>
      <c r="B3347" t="s">
        <v>1744</v>
      </c>
      <c r="C3347" t="s">
        <v>849</v>
      </c>
      <c r="D3347" t="s">
        <v>40</v>
      </c>
      <c r="E3347" t="s">
        <v>26</v>
      </c>
      <c r="F3347" t="s">
        <v>17</v>
      </c>
      <c r="G3347" t="str">
        <f>"10"</f>
        <v>10</v>
      </c>
      <c r="H3347" t="str">
        <f>"3  "</f>
        <v xml:space="preserve">3  </v>
      </c>
      <c r="I3347" t="str">
        <f>"2018/07/02"</f>
        <v>2018/07/02</v>
      </c>
      <c r="J3347" t="str">
        <f>"110"</f>
        <v>110</v>
      </c>
      <c r="K3347" t="str">
        <f>"20201101"</f>
        <v>20201101</v>
      </c>
      <c r="L3347" t="s">
        <v>18</v>
      </c>
      <c r="M3347" t="str">
        <f>"20180517"</f>
        <v>20180517</v>
      </c>
    </row>
    <row r="3348" spans="1:13" x14ac:dyDescent="0.25">
      <c r="A3348" t="str">
        <f>"00356004"</f>
        <v>00356004</v>
      </c>
      <c r="B3348" t="s">
        <v>1745</v>
      </c>
      <c r="C3348" t="s">
        <v>1075</v>
      </c>
      <c r="D3348" t="s">
        <v>37</v>
      </c>
      <c r="E3348" t="s">
        <v>16</v>
      </c>
      <c r="F3348" t="s">
        <v>17</v>
      </c>
      <c r="G3348" t="str">
        <f>"10"</f>
        <v>10</v>
      </c>
      <c r="H3348" t="str">
        <f>"3  "</f>
        <v xml:space="preserve">3  </v>
      </c>
      <c r="I3348" t="str">
        <f>"2020/07/10"</f>
        <v>2020/07/10</v>
      </c>
      <c r="J3348" t="str">
        <f>"110"</f>
        <v>110</v>
      </c>
      <c r="K3348" t="str">
        <f>"20260817"</f>
        <v>20260817</v>
      </c>
      <c r="L3348" t="s">
        <v>18</v>
      </c>
      <c r="M3348" t="str">
        <f>"20191104"</f>
        <v>20191104</v>
      </c>
    </row>
    <row r="3349" spans="1:13" x14ac:dyDescent="0.25">
      <c r="A3349" t="str">
        <f>"00387051"</f>
        <v>00387051</v>
      </c>
      <c r="B3349" t="s">
        <v>1746</v>
      </c>
      <c r="C3349" t="s">
        <v>327</v>
      </c>
      <c r="D3349" t="s">
        <v>15</v>
      </c>
      <c r="E3349" t="s">
        <v>16</v>
      </c>
      <c r="F3349" t="s">
        <v>17</v>
      </c>
      <c r="G3349" t="str">
        <f>"10"</f>
        <v>10</v>
      </c>
      <c r="H3349" t="str">
        <f>"0  "</f>
        <v xml:space="preserve">0  </v>
      </c>
      <c r="I3349" t="str">
        <f>"2020/09/22"</f>
        <v>2020/09/22</v>
      </c>
      <c r="J3349" t="str">
        <f>"440"</f>
        <v>440</v>
      </c>
      <c r="K3349" t="s">
        <v>18</v>
      </c>
      <c r="L3349" t="s">
        <v>18</v>
      </c>
      <c r="M3349" t="s">
        <v>18</v>
      </c>
    </row>
    <row r="3350" spans="1:13" x14ac:dyDescent="0.25">
      <c r="A3350" t="str">
        <f>"00714427"</f>
        <v>00714427</v>
      </c>
      <c r="B3350" t="s">
        <v>1749</v>
      </c>
      <c r="C3350" t="s">
        <v>211</v>
      </c>
      <c r="D3350" t="s">
        <v>25</v>
      </c>
      <c r="E3350" t="s">
        <v>16</v>
      </c>
      <c r="F3350" t="s">
        <v>17</v>
      </c>
      <c r="G3350" t="str">
        <f>"10"</f>
        <v>10</v>
      </c>
      <c r="H3350" t="str">
        <f>"0  "</f>
        <v xml:space="preserve">0  </v>
      </c>
      <c r="I3350" t="str">
        <f>"2020/08/23"</f>
        <v>2020/08/23</v>
      </c>
      <c r="J3350" t="str">
        <f>"420"</f>
        <v>420</v>
      </c>
      <c r="K3350" t="s">
        <v>18</v>
      </c>
      <c r="L3350" t="s">
        <v>18</v>
      </c>
      <c r="M3350" t="s">
        <v>18</v>
      </c>
    </row>
    <row r="3351" spans="1:13" x14ac:dyDescent="0.25">
      <c r="A3351" t="str">
        <f>"00283409"</f>
        <v>00283409</v>
      </c>
      <c r="B3351" t="s">
        <v>1752</v>
      </c>
      <c r="C3351" t="s">
        <v>437</v>
      </c>
      <c r="D3351" t="s">
        <v>40</v>
      </c>
      <c r="E3351" t="s">
        <v>26</v>
      </c>
      <c r="F3351" t="s">
        <v>17</v>
      </c>
      <c r="G3351" t="str">
        <f>"10"</f>
        <v>10</v>
      </c>
      <c r="H3351" t="str">
        <f>"1  "</f>
        <v xml:space="preserve">1  </v>
      </c>
      <c r="I3351" t="str">
        <f>"2020/08/26"</f>
        <v>2020/08/26</v>
      </c>
      <c r="J3351" t="str">
        <f>"120"</f>
        <v>120</v>
      </c>
      <c r="K3351" t="str">
        <f>"20210130"</f>
        <v>20210130</v>
      </c>
      <c r="L3351" t="s">
        <v>18</v>
      </c>
      <c r="M3351" t="str">
        <f>"20200812"</f>
        <v>20200812</v>
      </c>
    </row>
    <row r="3352" spans="1:13" x14ac:dyDescent="0.25">
      <c r="A3352" t="str">
        <f>"00551449"</f>
        <v>00551449</v>
      </c>
      <c r="B3352" t="s">
        <v>1752</v>
      </c>
      <c r="C3352" t="s">
        <v>1754</v>
      </c>
      <c r="D3352" t="s">
        <v>121</v>
      </c>
      <c r="E3352" t="s">
        <v>26</v>
      </c>
      <c r="F3352" t="s">
        <v>17</v>
      </c>
      <c r="G3352" t="str">
        <f>"10"</f>
        <v>10</v>
      </c>
      <c r="H3352" t="str">
        <f>"3  "</f>
        <v xml:space="preserve">3  </v>
      </c>
      <c r="I3352" t="str">
        <f>"2019/02/01"</f>
        <v>2019/02/01</v>
      </c>
      <c r="J3352" t="str">
        <f>"502"</f>
        <v>502</v>
      </c>
      <c r="K3352" t="str">
        <f>"20250912"</f>
        <v>20250912</v>
      </c>
      <c r="L3352" t="s">
        <v>18</v>
      </c>
      <c r="M3352" t="str">
        <f>"20170726"</f>
        <v>20170726</v>
      </c>
    </row>
    <row r="3353" spans="1:13" x14ac:dyDescent="0.25">
      <c r="A3353" t="str">
        <f>"00416070"</f>
        <v>00416070</v>
      </c>
      <c r="B3353" t="s">
        <v>1763</v>
      </c>
      <c r="C3353" t="s">
        <v>55</v>
      </c>
      <c r="D3353" t="s">
        <v>15</v>
      </c>
      <c r="E3353" t="s">
        <v>26</v>
      </c>
      <c r="F3353" t="s">
        <v>17</v>
      </c>
      <c r="G3353" t="str">
        <f>"10"</f>
        <v>10</v>
      </c>
      <c r="H3353" t="str">
        <f>"3  "</f>
        <v xml:space="preserve">3  </v>
      </c>
      <c r="I3353" t="str">
        <f>"2018/08/02"</f>
        <v>2018/08/02</v>
      </c>
      <c r="J3353" t="str">
        <f>"110"</f>
        <v>110</v>
      </c>
      <c r="K3353" t="str">
        <f>"20221122"</f>
        <v>20221122</v>
      </c>
      <c r="L3353" t="s">
        <v>18</v>
      </c>
      <c r="M3353" t="str">
        <f>"20180801"</f>
        <v>20180801</v>
      </c>
    </row>
    <row r="3354" spans="1:13" x14ac:dyDescent="0.25">
      <c r="A3354" t="str">
        <f>"00521549"</f>
        <v>00521549</v>
      </c>
      <c r="B3354" t="s">
        <v>1764</v>
      </c>
      <c r="C3354" t="s">
        <v>526</v>
      </c>
      <c r="D3354" t="s">
        <v>80</v>
      </c>
      <c r="E3354" t="s">
        <v>26</v>
      </c>
      <c r="F3354" t="s">
        <v>17</v>
      </c>
      <c r="G3354" t="str">
        <f>"10"</f>
        <v>10</v>
      </c>
      <c r="H3354" t="str">
        <f>"3  "</f>
        <v xml:space="preserve">3  </v>
      </c>
      <c r="I3354" t="str">
        <f>"2020/01/29"</f>
        <v>2020/01/29</v>
      </c>
      <c r="J3354" t="str">
        <f>"110"</f>
        <v>110</v>
      </c>
      <c r="K3354" t="str">
        <f>"20210604"</f>
        <v>20210604</v>
      </c>
      <c r="L3354" t="s">
        <v>18</v>
      </c>
      <c r="M3354" t="str">
        <f>"20190818"</f>
        <v>20190818</v>
      </c>
    </row>
    <row r="3355" spans="1:13" x14ac:dyDescent="0.25">
      <c r="A3355" t="str">
        <f>"00416081"</f>
        <v>00416081</v>
      </c>
      <c r="B3355" t="s">
        <v>1768</v>
      </c>
      <c r="C3355" t="s">
        <v>14</v>
      </c>
      <c r="D3355" t="s">
        <v>25</v>
      </c>
      <c r="E3355" t="s">
        <v>26</v>
      </c>
      <c r="F3355" t="s">
        <v>17</v>
      </c>
      <c r="G3355" t="str">
        <f>"10"</f>
        <v>10</v>
      </c>
      <c r="H3355" t="str">
        <f>"3  "</f>
        <v xml:space="preserve">3  </v>
      </c>
      <c r="I3355" t="str">
        <f>"2019/03/17"</f>
        <v>2019/03/17</v>
      </c>
      <c r="J3355" t="str">
        <f>"110"</f>
        <v>110</v>
      </c>
      <c r="K3355" t="str">
        <f>"20250606"</f>
        <v>20250606</v>
      </c>
      <c r="L3355" t="s">
        <v>18</v>
      </c>
      <c r="M3355" t="str">
        <f>"20180404"</f>
        <v>20180404</v>
      </c>
    </row>
    <row r="3356" spans="1:13" x14ac:dyDescent="0.25">
      <c r="A3356" t="str">
        <f>"00277466"</f>
        <v>00277466</v>
      </c>
      <c r="B3356" t="s">
        <v>1768</v>
      </c>
      <c r="C3356" t="s">
        <v>606</v>
      </c>
      <c r="D3356" t="s">
        <v>21</v>
      </c>
      <c r="E3356" t="s">
        <v>26</v>
      </c>
      <c r="F3356" t="s">
        <v>17</v>
      </c>
      <c r="G3356" t="str">
        <f>"10"</f>
        <v>10</v>
      </c>
      <c r="H3356" t="str">
        <f>"0  "</f>
        <v xml:space="preserve">0  </v>
      </c>
      <c r="I3356" t="str">
        <f>"2020/08/04"</f>
        <v>2020/08/04</v>
      </c>
      <c r="J3356" t="str">
        <f>"512"</f>
        <v>512</v>
      </c>
      <c r="K3356" t="s">
        <v>18</v>
      </c>
      <c r="L3356" t="s">
        <v>18</v>
      </c>
      <c r="M3356" t="s">
        <v>18</v>
      </c>
    </row>
    <row r="3357" spans="1:13" x14ac:dyDescent="0.25">
      <c r="A3357" t="str">
        <f>"00466428"</f>
        <v>00466428</v>
      </c>
      <c r="B3357" t="s">
        <v>1768</v>
      </c>
      <c r="C3357" t="s">
        <v>1771</v>
      </c>
      <c r="D3357" t="s">
        <v>25</v>
      </c>
      <c r="E3357" t="s">
        <v>26</v>
      </c>
      <c r="F3357" t="s">
        <v>17</v>
      </c>
      <c r="G3357" t="str">
        <f>"10"</f>
        <v>10</v>
      </c>
      <c r="H3357" t="str">
        <f>"0  "</f>
        <v xml:space="preserve">0  </v>
      </c>
      <c r="I3357" t="str">
        <f>"2020/07/16"</f>
        <v>2020/07/16</v>
      </c>
      <c r="J3357" t="str">
        <f>"512"</f>
        <v>512</v>
      </c>
      <c r="K3357" t="s">
        <v>18</v>
      </c>
      <c r="L3357" t="s">
        <v>18</v>
      </c>
      <c r="M3357" t="s">
        <v>18</v>
      </c>
    </row>
    <row r="3358" spans="1:13" x14ac:dyDescent="0.25">
      <c r="A3358" t="str">
        <f>"00863618"</f>
        <v>00863618</v>
      </c>
      <c r="B3358" t="s">
        <v>1768</v>
      </c>
      <c r="C3358" t="s">
        <v>1773</v>
      </c>
      <c r="D3358" t="s">
        <v>25</v>
      </c>
      <c r="E3358" t="s">
        <v>26</v>
      </c>
      <c r="F3358" t="s">
        <v>17</v>
      </c>
      <c r="G3358" t="str">
        <f>"10"</f>
        <v>10</v>
      </c>
      <c r="H3358" t="str">
        <f>"0  "</f>
        <v xml:space="preserve">0  </v>
      </c>
      <c r="I3358" t="str">
        <f>"2020/06/07"</f>
        <v>2020/06/07</v>
      </c>
      <c r="J3358" t="str">
        <f>"420"</f>
        <v>420</v>
      </c>
      <c r="K3358" t="s">
        <v>18</v>
      </c>
      <c r="L3358" t="s">
        <v>18</v>
      </c>
      <c r="M3358" t="s">
        <v>18</v>
      </c>
    </row>
    <row r="3359" spans="1:13" x14ac:dyDescent="0.25">
      <c r="A3359" t="str">
        <f>"00209681"</f>
        <v>00209681</v>
      </c>
      <c r="B3359" t="s">
        <v>1779</v>
      </c>
      <c r="C3359" t="s">
        <v>246</v>
      </c>
      <c r="D3359" t="s">
        <v>51</v>
      </c>
      <c r="E3359" t="s">
        <v>16</v>
      </c>
      <c r="F3359" t="s">
        <v>17</v>
      </c>
      <c r="G3359" t="str">
        <f>"10"</f>
        <v>10</v>
      </c>
      <c r="H3359" t="str">
        <f>"0  "</f>
        <v xml:space="preserve">0  </v>
      </c>
      <c r="I3359" t="str">
        <f>"2020/02/22"</f>
        <v>2020/02/22</v>
      </c>
      <c r="J3359" t="str">
        <f>"420"</f>
        <v>420</v>
      </c>
      <c r="K3359" t="s">
        <v>18</v>
      </c>
      <c r="L3359" t="s">
        <v>18</v>
      </c>
      <c r="M3359" t="s">
        <v>18</v>
      </c>
    </row>
    <row r="3360" spans="1:13" x14ac:dyDescent="0.25">
      <c r="A3360" t="str">
        <f>"00190123"</f>
        <v>00190123</v>
      </c>
      <c r="B3360" t="s">
        <v>1779</v>
      </c>
      <c r="C3360" t="s">
        <v>1781</v>
      </c>
      <c r="D3360" t="s">
        <v>21</v>
      </c>
      <c r="E3360" t="s">
        <v>16</v>
      </c>
      <c r="F3360" t="s">
        <v>17</v>
      </c>
      <c r="G3360" t="str">
        <f>"10"</f>
        <v>10</v>
      </c>
      <c r="H3360" t="str">
        <f>"1  "</f>
        <v xml:space="preserve">1  </v>
      </c>
      <c r="I3360" t="str">
        <f>"2020/03/20"</f>
        <v>2020/03/20</v>
      </c>
      <c r="J3360" t="str">
        <f>"120"</f>
        <v>120</v>
      </c>
      <c r="K3360" t="str">
        <f>"20201124"</f>
        <v>20201124</v>
      </c>
      <c r="L3360" t="s">
        <v>18</v>
      </c>
      <c r="M3360" t="str">
        <f>"20200313"</f>
        <v>20200313</v>
      </c>
    </row>
    <row r="3361" spans="1:13" x14ac:dyDescent="0.25">
      <c r="A3361" t="str">
        <f>"00883653"</f>
        <v>00883653</v>
      </c>
      <c r="B3361" t="s">
        <v>1785</v>
      </c>
      <c r="C3361" t="s">
        <v>637</v>
      </c>
      <c r="D3361" t="s">
        <v>25</v>
      </c>
      <c r="E3361" t="s">
        <v>26</v>
      </c>
      <c r="F3361" t="s">
        <v>17</v>
      </c>
      <c r="G3361" t="str">
        <f>"10"</f>
        <v>10</v>
      </c>
      <c r="H3361" t="str">
        <f>"3  "</f>
        <v xml:space="preserve">3  </v>
      </c>
      <c r="I3361" t="str">
        <f>"2019/04/05"</f>
        <v>2019/04/05</v>
      </c>
      <c r="J3361" t="str">
        <f>"110"</f>
        <v>110</v>
      </c>
      <c r="K3361" t="str">
        <f>"20250316"</f>
        <v>20250316</v>
      </c>
      <c r="L3361" t="s">
        <v>18</v>
      </c>
      <c r="M3361" t="str">
        <f>"20180619"</f>
        <v>20180619</v>
      </c>
    </row>
    <row r="3362" spans="1:13" x14ac:dyDescent="0.25">
      <c r="A3362" t="str">
        <f>"00521249"</f>
        <v>00521249</v>
      </c>
      <c r="B3362" t="s">
        <v>1785</v>
      </c>
      <c r="C3362" t="s">
        <v>333</v>
      </c>
      <c r="D3362" t="s">
        <v>51</v>
      </c>
      <c r="E3362" t="s">
        <v>26</v>
      </c>
      <c r="F3362" t="s">
        <v>17</v>
      </c>
      <c r="G3362" t="str">
        <f>"10"</f>
        <v>10</v>
      </c>
      <c r="H3362" t="str">
        <f>"3  "</f>
        <v xml:space="preserve">3  </v>
      </c>
      <c r="I3362" t="str">
        <f>"2016/12/13"</f>
        <v>2016/12/13</v>
      </c>
      <c r="J3362" t="str">
        <f>"110"</f>
        <v>110</v>
      </c>
      <c r="K3362" t="str">
        <f>"20230802"</f>
        <v>20230802</v>
      </c>
      <c r="L3362" t="s">
        <v>18</v>
      </c>
      <c r="M3362" t="str">
        <f>"20161204"</f>
        <v>20161204</v>
      </c>
    </row>
    <row r="3363" spans="1:13" x14ac:dyDescent="0.25">
      <c r="A3363" t="str">
        <f>"00166139"</f>
        <v>00166139</v>
      </c>
      <c r="B3363" t="s">
        <v>1788</v>
      </c>
      <c r="C3363" t="s">
        <v>169</v>
      </c>
      <c r="D3363" t="s">
        <v>61</v>
      </c>
      <c r="E3363" t="s">
        <v>16</v>
      </c>
      <c r="F3363" t="s">
        <v>17</v>
      </c>
      <c r="G3363" t="str">
        <f>"10"</f>
        <v>10</v>
      </c>
      <c r="H3363" t="str">
        <f>"3  "</f>
        <v xml:space="preserve">3  </v>
      </c>
      <c r="I3363" t="str">
        <f>"2019/11/07"</f>
        <v>2019/11/07</v>
      </c>
      <c r="J3363" t="str">
        <f>"110"</f>
        <v>110</v>
      </c>
      <c r="K3363" t="str">
        <f>"20210209"</f>
        <v>20210209</v>
      </c>
      <c r="L3363" t="s">
        <v>18</v>
      </c>
      <c r="M3363" t="str">
        <f>"20191028"</f>
        <v>20191028</v>
      </c>
    </row>
    <row r="3364" spans="1:13" x14ac:dyDescent="0.25">
      <c r="A3364" t="str">
        <f>"00315025"</f>
        <v>00315025</v>
      </c>
      <c r="B3364" t="s">
        <v>1789</v>
      </c>
      <c r="C3364" t="s">
        <v>1790</v>
      </c>
      <c r="D3364" t="s">
        <v>25</v>
      </c>
      <c r="E3364" t="s">
        <v>26</v>
      </c>
      <c r="F3364" t="s">
        <v>17</v>
      </c>
      <c r="G3364" t="str">
        <f>"10"</f>
        <v>10</v>
      </c>
      <c r="H3364" t="str">
        <f>"3  "</f>
        <v xml:space="preserve">3  </v>
      </c>
      <c r="I3364" t="str">
        <f>"2016/12/06"</f>
        <v>2016/12/06</v>
      </c>
      <c r="J3364" t="str">
        <f>"110"</f>
        <v>110</v>
      </c>
      <c r="K3364" t="str">
        <f>"20201106"</f>
        <v>20201106</v>
      </c>
      <c r="L3364" t="s">
        <v>18</v>
      </c>
      <c r="M3364" t="str">
        <f>"20161104"</f>
        <v>20161104</v>
      </c>
    </row>
    <row r="3365" spans="1:13" x14ac:dyDescent="0.25">
      <c r="A3365" t="str">
        <f>"00769381"</f>
        <v>00769381</v>
      </c>
      <c r="B3365" t="s">
        <v>1791</v>
      </c>
      <c r="C3365" t="s">
        <v>1792</v>
      </c>
      <c r="D3365" t="s">
        <v>25</v>
      </c>
      <c r="E3365" t="s">
        <v>26</v>
      </c>
      <c r="F3365" t="s">
        <v>17</v>
      </c>
      <c r="G3365" t="str">
        <f>"10"</f>
        <v>10</v>
      </c>
      <c r="H3365" t="str">
        <f>"0  "</f>
        <v xml:space="preserve">0  </v>
      </c>
      <c r="I3365" t="str">
        <f>"2020/06/11"</f>
        <v>2020/06/11</v>
      </c>
      <c r="J3365" t="str">
        <f>"420"</f>
        <v>420</v>
      </c>
      <c r="K3365" t="s">
        <v>18</v>
      </c>
      <c r="L3365" t="s">
        <v>18</v>
      </c>
      <c r="M3365" t="s">
        <v>18</v>
      </c>
    </row>
    <row r="3366" spans="1:13" x14ac:dyDescent="0.25">
      <c r="A3366" t="str">
        <f>"00870162"</f>
        <v>00870162</v>
      </c>
      <c r="B3366" t="s">
        <v>1793</v>
      </c>
      <c r="C3366" t="s">
        <v>136</v>
      </c>
      <c r="D3366" t="s">
        <v>51</v>
      </c>
      <c r="E3366" t="s">
        <v>26</v>
      </c>
      <c r="F3366" t="s">
        <v>17</v>
      </c>
      <c r="G3366" t="str">
        <f>"10"</f>
        <v>10</v>
      </c>
      <c r="H3366" t="str">
        <f>"0  "</f>
        <v xml:space="preserve">0  </v>
      </c>
      <c r="I3366" t="str">
        <f>"2019/11/05"</f>
        <v>2019/11/05</v>
      </c>
      <c r="J3366" t="str">
        <f>"420"</f>
        <v>420</v>
      </c>
      <c r="K3366" t="s">
        <v>18</v>
      </c>
      <c r="L3366" t="s">
        <v>18</v>
      </c>
      <c r="M3366" t="s">
        <v>18</v>
      </c>
    </row>
    <row r="3367" spans="1:13" x14ac:dyDescent="0.25">
      <c r="A3367" t="str">
        <f>"00438351"</f>
        <v>00438351</v>
      </c>
      <c r="B3367" t="s">
        <v>1793</v>
      </c>
      <c r="C3367" t="s">
        <v>1794</v>
      </c>
      <c r="D3367" t="s">
        <v>91</v>
      </c>
      <c r="E3367" t="s">
        <v>16</v>
      </c>
      <c r="F3367" t="s">
        <v>17</v>
      </c>
      <c r="G3367" t="str">
        <f>"10"</f>
        <v>10</v>
      </c>
      <c r="H3367" t="str">
        <f>"0  "</f>
        <v xml:space="preserve">0  </v>
      </c>
      <c r="I3367" t="str">
        <f>"2019/11/04"</f>
        <v>2019/11/04</v>
      </c>
      <c r="J3367" t="str">
        <f>"420"</f>
        <v>420</v>
      </c>
      <c r="K3367" t="s">
        <v>18</v>
      </c>
      <c r="L3367" t="s">
        <v>18</v>
      </c>
      <c r="M3367" t="s">
        <v>18</v>
      </c>
    </row>
    <row r="3368" spans="1:13" x14ac:dyDescent="0.25">
      <c r="A3368" t="str">
        <f>"00256125"</f>
        <v>00256125</v>
      </c>
      <c r="B3368" t="s">
        <v>1796</v>
      </c>
      <c r="C3368" t="s">
        <v>308</v>
      </c>
      <c r="D3368" t="s">
        <v>45</v>
      </c>
      <c r="E3368" t="s">
        <v>26</v>
      </c>
      <c r="F3368" t="s">
        <v>17</v>
      </c>
      <c r="G3368" t="str">
        <f>"10"</f>
        <v>10</v>
      </c>
      <c r="H3368" t="str">
        <f>"0  "</f>
        <v xml:space="preserve">0  </v>
      </c>
      <c r="I3368" t="str">
        <f>"2020/04/01"</f>
        <v>2020/04/01</v>
      </c>
      <c r="J3368" t="str">
        <f>"420"</f>
        <v>420</v>
      </c>
      <c r="K3368" t="s">
        <v>18</v>
      </c>
      <c r="L3368" t="s">
        <v>18</v>
      </c>
      <c r="M3368" t="s">
        <v>18</v>
      </c>
    </row>
    <row r="3369" spans="1:13" x14ac:dyDescent="0.25">
      <c r="A3369" t="str">
        <f>"00626115"</f>
        <v>00626115</v>
      </c>
      <c r="B3369" t="s">
        <v>1796</v>
      </c>
      <c r="C3369" t="s">
        <v>1799</v>
      </c>
      <c r="D3369" t="s">
        <v>25</v>
      </c>
      <c r="E3369" t="s">
        <v>26</v>
      </c>
      <c r="F3369" t="s">
        <v>17</v>
      </c>
      <c r="G3369" t="str">
        <f>"10"</f>
        <v>10</v>
      </c>
      <c r="H3369" t="str">
        <f>"3  "</f>
        <v xml:space="preserve">3  </v>
      </c>
      <c r="I3369" t="str">
        <f>"2019/12/19"</f>
        <v>2019/12/19</v>
      </c>
      <c r="J3369" t="str">
        <f>"502"</f>
        <v>502</v>
      </c>
      <c r="K3369" t="str">
        <f>"20210923"</f>
        <v>20210923</v>
      </c>
      <c r="L3369" t="s">
        <v>18</v>
      </c>
      <c r="M3369" t="str">
        <f>"20110413"</f>
        <v>20110413</v>
      </c>
    </row>
    <row r="3370" spans="1:13" x14ac:dyDescent="0.25">
      <c r="A3370" t="str">
        <f>"00616912"</f>
        <v>00616912</v>
      </c>
      <c r="B3370" t="s">
        <v>1810</v>
      </c>
      <c r="C3370" t="s">
        <v>233</v>
      </c>
      <c r="D3370" t="s">
        <v>51</v>
      </c>
      <c r="E3370" t="s">
        <v>26</v>
      </c>
      <c r="F3370" t="s">
        <v>17</v>
      </c>
      <c r="G3370" t="str">
        <f>"10"</f>
        <v>10</v>
      </c>
      <c r="H3370" t="str">
        <f>"3  "</f>
        <v xml:space="preserve">3  </v>
      </c>
      <c r="I3370" t="str">
        <f>"2015/04/21"</f>
        <v>2015/04/21</v>
      </c>
      <c r="J3370" t="str">
        <f>"110"</f>
        <v>110</v>
      </c>
      <c r="K3370" t="str">
        <f>"20211219"</f>
        <v>20211219</v>
      </c>
      <c r="L3370" t="s">
        <v>18</v>
      </c>
      <c r="M3370" t="str">
        <f>"20140609"</f>
        <v>20140609</v>
      </c>
    </row>
    <row r="3371" spans="1:13" x14ac:dyDescent="0.25">
      <c r="A3371" t="str">
        <f>"00587280"</f>
        <v>00587280</v>
      </c>
      <c r="B3371" t="s">
        <v>1815</v>
      </c>
      <c r="C3371" t="s">
        <v>936</v>
      </c>
      <c r="D3371" t="s">
        <v>97</v>
      </c>
      <c r="E3371" t="s">
        <v>26</v>
      </c>
      <c r="F3371" t="s">
        <v>17</v>
      </c>
      <c r="G3371" t="str">
        <f>"10"</f>
        <v>10</v>
      </c>
      <c r="H3371" t="str">
        <f>"3  "</f>
        <v xml:space="preserve">3  </v>
      </c>
      <c r="I3371" t="str">
        <f>"2017/09/27"</f>
        <v>2017/09/27</v>
      </c>
      <c r="J3371" t="str">
        <f>"110"</f>
        <v>110</v>
      </c>
      <c r="K3371" t="str">
        <f>"20210622"</f>
        <v>20210622</v>
      </c>
      <c r="L3371" t="s">
        <v>18</v>
      </c>
      <c r="M3371" t="str">
        <f>"20170423"</f>
        <v>20170423</v>
      </c>
    </row>
    <row r="3372" spans="1:13" x14ac:dyDescent="0.25">
      <c r="A3372" t="str">
        <f>"00809827"</f>
        <v>00809827</v>
      </c>
      <c r="B3372" t="s">
        <v>1816</v>
      </c>
      <c r="C3372" t="s">
        <v>1817</v>
      </c>
      <c r="D3372" t="s">
        <v>51</v>
      </c>
      <c r="E3372" t="s">
        <v>26</v>
      </c>
      <c r="F3372" t="s">
        <v>17</v>
      </c>
      <c r="G3372" t="str">
        <f>"10"</f>
        <v>10</v>
      </c>
      <c r="H3372" t="str">
        <f>"3  "</f>
        <v xml:space="preserve">3  </v>
      </c>
      <c r="I3372" t="str">
        <f>"2017/01/12"</f>
        <v>2017/01/12</v>
      </c>
      <c r="J3372" t="str">
        <f>"110"</f>
        <v>110</v>
      </c>
      <c r="K3372" t="str">
        <f>"20221106"</f>
        <v>20221106</v>
      </c>
      <c r="L3372" t="s">
        <v>18</v>
      </c>
      <c r="M3372" t="str">
        <f>"20160219"</f>
        <v>20160219</v>
      </c>
    </row>
    <row r="3373" spans="1:13" x14ac:dyDescent="0.25">
      <c r="A3373" t="str">
        <f>"00440862"</f>
        <v>00440862</v>
      </c>
      <c r="B3373" t="s">
        <v>1818</v>
      </c>
      <c r="C3373" t="s">
        <v>1819</v>
      </c>
      <c r="D3373" t="s">
        <v>47</v>
      </c>
      <c r="E3373" t="s">
        <v>26</v>
      </c>
      <c r="F3373" t="s">
        <v>17</v>
      </c>
      <c r="G3373" t="str">
        <f>"10"</f>
        <v>10</v>
      </c>
      <c r="H3373" t="str">
        <f>"3  "</f>
        <v xml:space="preserve">3  </v>
      </c>
      <c r="I3373" t="str">
        <f>"2018/08/14"</f>
        <v>2018/08/14</v>
      </c>
      <c r="J3373" t="str">
        <f>"110"</f>
        <v>110</v>
      </c>
      <c r="K3373" t="str">
        <f>"20220310"</f>
        <v>20220310</v>
      </c>
      <c r="L3373" t="s">
        <v>18</v>
      </c>
      <c r="M3373" t="str">
        <f>"20170903"</f>
        <v>20170903</v>
      </c>
    </row>
    <row r="3374" spans="1:13" x14ac:dyDescent="0.25">
      <c r="A3374" t="str">
        <f>"00609465"</f>
        <v>00609465</v>
      </c>
      <c r="B3374" t="s">
        <v>1822</v>
      </c>
      <c r="C3374" t="s">
        <v>437</v>
      </c>
      <c r="D3374" t="s">
        <v>25</v>
      </c>
      <c r="E3374" t="s">
        <v>26</v>
      </c>
      <c r="F3374" t="s">
        <v>17</v>
      </c>
      <c r="G3374" t="str">
        <f>"10"</f>
        <v>10</v>
      </c>
      <c r="H3374" t="str">
        <f>"3  "</f>
        <v xml:space="preserve">3  </v>
      </c>
      <c r="I3374" t="str">
        <f>"2017/09/19"</f>
        <v>2017/09/19</v>
      </c>
      <c r="J3374" t="str">
        <f>"110"</f>
        <v>110</v>
      </c>
      <c r="K3374" t="str">
        <f>"20211218"</f>
        <v>20211218</v>
      </c>
      <c r="L3374" t="s">
        <v>18</v>
      </c>
      <c r="M3374" t="str">
        <f>"20170911"</f>
        <v>20170911</v>
      </c>
    </row>
    <row r="3375" spans="1:13" x14ac:dyDescent="0.25">
      <c r="A3375" t="str">
        <f>"00527424"</f>
        <v>00527424</v>
      </c>
      <c r="B3375" t="s">
        <v>1823</v>
      </c>
      <c r="C3375" t="s">
        <v>164</v>
      </c>
      <c r="D3375" t="s">
        <v>51</v>
      </c>
      <c r="E3375" t="s">
        <v>26</v>
      </c>
      <c r="F3375" t="s">
        <v>17</v>
      </c>
      <c r="G3375" t="str">
        <f>"10"</f>
        <v>10</v>
      </c>
      <c r="H3375" t="str">
        <f>"0  "</f>
        <v xml:space="preserve">0  </v>
      </c>
      <c r="I3375" t="str">
        <f>"2018/07/13"</f>
        <v>2018/07/13</v>
      </c>
      <c r="J3375" t="str">
        <f>"420"</f>
        <v>420</v>
      </c>
      <c r="K3375" t="s">
        <v>18</v>
      </c>
      <c r="L3375" t="s">
        <v>18</v>
      </c>
      <c r="M3375" t="s">
        <v>18</v>
      </c>
    </row>
    <row r="3376" spans="1:13" x14ac:dyDescent="0.25">
      <c r="A3376" t="str">
        <f>"00464376"</f>
        <v>00464376</v>
      </c>
      <c r="B3376" t="s">
        <v>1824</v>
      </c>
      <c r="C3376" t="s">
        <v>269</v>
      </c>
      <c r="D3376" t="s">
        <v>26</v>
      </c>
      <c r="E3376" t="s">
        <v>26</v>
      </c>
      <c r="F3376" t="s">
        <v>17</v>
      </c>
      <c r="G3376" t="str">
        <f>"10"</f>
        <v>10</v>
      </c>
      <c r="H3376" t="str">
        <f>"0  "</f>
        <v xml:space="preserve">0  </v>
      </c>
      <c r="I3376" t="str">
        <f>"2020/08/05"</f>
        <v>2020/08/05</v>
      </c>
      <c r="J3376" t="str">
        <f>"420"</f>
        <v>420</v>
      </c>
      <c r="K3376" t="s">
        <v>18</v>
      </c>
      <c r="L3376" t="s">
        <v>18</v>
      </c>
      <c r="M3376" t="s">
        <v>18</v>
      </c>
    </row>
    <row r="3377" spans="1:13" x14ac:dyDescent="0.25">
      <c r="A3377" t="str">
        <f>"00786711"</f>
        <v>00786711</v>
      </c>
      <c r="B3377" t="s">
        <v>1824</v>
      </c>
      <c r="C3377" t="s">
        <v>1828</v>
      </c>
      <c r="D3377" t="s">
        <v>37</v>
      </c>
      <c r="E3377" t="s">
        <v>26</v>
      </c>
      <c r="F3377" t="s">
        <v>17</v>
      </c>
      <c r="G3377" t="str">
        <f>"10"</f>
        <v>10</v>
      </c>
      <c r="H3377" t="str">
        <f>"1  "</f>
        <v xml:space="preserve">1  </v>
      </c>
      <c r="I3377" t="str">
        <f>"2020/01/03"</f>
        <v>2020/01/03</v>
      </c>
      <c r="J3377" t="str">
        <f>"110"</f>
        <v>110</v>
      </c>
      <c r="K3377" t="str">
        <f>"20201030"</f>
        <v>20201030</v>
      </c>
      <c r="L3377" t="s">
        <v>18</v>
      </c>
      <c r="M3377" t="str">
        <f>"20191124"</f>
        <v>20191124</v>
      </c>
    </row>
    <row r="3378" spans="1:13" x14ac:dyDescent="0.25">
      <c r="A3378" t="str">
        <f>"00386668"</f>
        <v>00386668</v>
      </c>
      <c r="B3378" t="s">
        <v>1832</v>
      </c>
      <c r="C3378" t="s">
        <v>1028</v>
      </c>
      <c r="D3378" t="s">
        <v>51</v>
      </c>
      <c r="E3378" t="s">
        <v>26</v>
      </c>
      <c r="F3378" t="s">
        <v>17</v>
      </c>
      <c r="G3378" t="str">
        <f>"10"</f>
        <v>10</v>
      </c>
      <c r="H3378" t="str">
        <f>"3  "</f>
        <v xml:space="preserve">3  </v>
      </c>
      <c r="I3378" t="str">
        <f>"2019/09/24"</f>
        <v>2019/09/24</v>
      </c>
      <c r="J3378" t="str">
        <f>"110"</f>
        <v>110</v>
      </c>
      <c r="K3378" t="str">
        <f>"20210817"</f>
        <v>20210817</v>
      </c>
      <c r="L3378" t="s">
        <v>18</v>
      </c>
      <c r="M3378" t="str">
        <f>"20190225"</f>
        <v>20190225</v>
      </c>
    </row>
    <row r="3379" spans="1:13" x14ac:dyDescent="0.25">
      <c r="A3379" t="str">
        <f>"00775005"</f>
        <v>00775005</v>
      </c>
      <c r="B3379" t="s">
        <v>1838</v>
      </c>
      <c r="C3379" t="s">
        <v>1839</v>
      </c>
      <c r="D3379" t="s">
        <v>45</v>
      </c>
      <c r="E3379" t="s">
        <v>26</v>
      </c>
      <c r="F3379" t="s">
        <v>17</v>
      </c>
      <c r="G3379" t="str">
        <f>"10"</f>
        <v>10</v>
      </c>
      <c r="H3379" t="str">
        <f>"3  "</f>
        <v xml:space="preserve">3  </v>
      </c>
      <c r="I3379" t="str">
        <f>"2020/05/01"</f>
        <v>2020/05/01</v>
      </c>
      <c r="J3379" t="str">
        <f>"110"</f>
        <v>110</v>
      </c>
      <c r="K3379" t="str">
        <f>"20210208"</f>
        <v>20210208</v>
      </c>
      <c r="L3379" t="s">
        <v>18</v>
      </c>
      <c r="M3379" t="str">
        <f>"20190411"</f>
        <v>20190411</v>
      </c>
    </row>
    <row r="3380" spans="1:13" x14ac:dyDescent="0.25">
      <c r="A3380" t="str">
        <f>"00623796"</f>
        <v>00623796</v>
      </c>
      <c r="B3380" t="s">
        <v>1840</v>
      </c>
      <c r="C3380" t="s">
        <v>115</v>
      </c>
      <c r="D3380" t="s">
        <v>80</v>
      </c>
      <c r="E3380" t="s">
        <v>26</v>
      </c>
      <c r="F3380" t="s">
        <v>17</v>
      </c>
      <c r="G3380" t="str">
        <f>"10"</f>
        <v>10</v>
      </c>
      <c r="H3380" t="str">
        <f>"3  "</f>
        <v xml:space="preserve">3  </v>
      </c>
      <c r="I3380" t="str">
        <f>"2019/05/17"</f>
        <v>2019/05/17</v>
      </c>
      <c r="J3380" t="str">
        <f>"110"</f>
        <v>110</v>
      </c>
      <c r="K3380" t="str">
        <f>"20210707"</f>
        <v>20210707</v>
      </c>
      <c r="L3380" t="s">
        <v>18</v>
      </c>
      <c r="M3380" t="str">
        <f>"20190516"</f>
        <v>20190516</v>
      </c>
    </row>
    <row r="3381" spans="1:13" x14ac:dyDescent="0.25">
      <c r="A3381" t="str">
        <f>"00636027"</f>
        <v>00636027</v>
      </c>
      <c r="B3381" t="s">
        <v>1840</v>
      </c>
      <c r="C3381" t="s">
        <v>154</v>
      </c>
      <c r="D3381" t="s">
        <v>25</v>
      </c>
      <c r="E3381" t="s">
        <v>26</v>
      </c>
      <c r="F3381" t="s">
        <v>17</v>
      </c>
      <c r="G3381" t="str">
        <f>"10"</f>
        <v>10</v>
      </c>
      <c r="H3381" t="str">
        <f>"3  "</f>
        <v xml:space="preserve">3  </v>
      </c>
      <c r="I3381" t="str">
        <f>"2017/01/20"</f>
        <v>2017/01/20</v>
      </c>
      <c r="J3381" t="str">
        <f>"110"</f>
        <v>110</v>
      </c>
      <c r="K3381" t="str">
        <f>"20210109"</f>
        <v>20210109</v>
      </c>
      <c r="L3381" t="s">
        <v>18</v>
      </c>
      <c r="M3381" t="str">
        <f>"20161212"</f>
        <v>20161212</v>
      </c>
    </row>
    <row r="3382" spans="1:13" x14ac:dyDescent="0.25">
      <c r="A3382" t="str">
        <f>"00324296"</f>
        <v>00324296</v>
      </c>
      <c r="B3382" t="s">
        <v>1840</v>
      </c>
      <c r="C3382" t="s">
        <v>1843</v>
      </c>
      <c r="D3382" t="s">
        <v>215</v>
      </c>
      <c r="E3382" t="s">
        <v>26</v>
      </c>
      <c r="F3382" t="s">
        <v>17</v>
      </c>
      <c r="G3382" t="str">
        <f>"10"</f>
        <v>10</v>
      </c>
      <c r="H3382" t="str">
        <f>"1  "</f>
        <v xml:space="preserve">1  </v>
      </c>
      <c r="I3382" t="str">
        <f>"2020/07/23"</f>
        <v>2020/07/23</v>
      </c>
      <c r="J3382" t="str">
        <f>"110"</f>
        <v>110</v>
      </c>
      <c r="K3382" t="str">
        <f>"20201005"</f>
        <v>20201005</v>
      </c>
      <c r="L3382" t="s">
        <v>18</v>
      </c>
      <c r="M3382" t="str">
        <f>"20191030"</f>
        <v>20191030</v>
      </c>
    </row>
    <row r="3383" spans="1:13" x14ac:dyDescent="0.25">
      <c r="A3383" t="str">
        <f>"00844559"</f>
        <v>00844559</v>
      </c>
      <c r="B3383" t="s">
        <v>1840</v>
      </c>
      <c r="C3383" t="s">
        <v>148</v>
      </c>
      <c r="D3383" t="s">
        <v>25</v>
      </c>
      <c r="E3383" t="s">
        <v>26</v>
      </c>
      <c r="F3383" t="s">
        <v>17</v>
      </c>
      <c r="G3383" t="str">
        <f>"10"</f>
        <v>10</v>
      </c>
      <c r="H3383" t="str">
        <f>"3  "</f>
        <v xml:space="preserve">3  </v>
      </c>
      <c r="I3383" t="str">
        <f>"2018/06/04"</f>
        <v>2018/06/04</v>
      </c>
      <c r="J3383" t="str">
        <f>"534"</f>
        <v>534</v>
      </c>
      <c r="K3383" t="str">
        <f>"20221027"</f>
        <v>20221027</v>
      </c>
      <c r="L3383" t="s">
        <v>18</v>
      </c>
      <c r="M3383" t="str">
        <f>"20161007"</f>
        <v>20161007</v>
      </c>
    </row>
    <row r="3384" spans="1:13" x14ac:dyDescent="0.25">
      <c r="A3384" t="str">
        <f>"00665785"</f>
        <v>00665785</v>
      </c>
      <c r="B3384" t="s">
        <v>1840</v>
      </c>
      <c r="C3384" t="s">
        <v>1743</v>
      </c>
      <c r="D3384" t="s">
        <v>25</v>
      </c>
      <c r="E3384" t="s">
        <v>26</v>
      </c>
      <c r="F3384" t="s">
        <v>17</v>
      </c>
      <c r="G3384" t="str">
        <f>"10"</f>
        <v>10</v>
      </c>
      <c r="H3384" t="str">
        <f>"0  "</f>
        <v xml:space="preserve">0  </v>
      </c>
      <c r="I3384" t="str">
        <f>"2020/03/10"</f>
        <v>2020/03/10</v>
      </c>
      <c r="J3384" t="str">
        <f>"420"</f>
        <v>420</v>
      </c>
      <c r="K3384" t="s">
        <v>18</v>
      </c>
      <c r="L3384" t="s">
        <v>18</v>
      </c>
      <c r="M3384" t="s">
        <v>18</v>
      </c>
    </row>
    <row r="3385" spans="1:13" x14ac:dyDescent="0.25">
      <c r="A3385" t="str">
        <f>"00576015"</f>
        <v>00576015</v>
      </c>
      <c r="B3385" t="s">
        <v>1840</v>
      </c>
      <c r="C3385" t="s">
        <v>1856</v>
      </c>
      <c r="D3385" t="s">
        <v>51</v>
      </c>
      <c r="E3385" t="s">
        <v>26</v>
      </c>
      <c r="F3385" t="s">
        <v>17</v>
      </c>
      <c r="G3385" t="str">
        <f>"10"</f>
        <v>10</v>
      </c>
      <c r="H3385" t="str">
        <f>"0  "</f>
        <v xml:space="preserve">0  </v>
      </c>
      <c r="I3385" t="str">
        <f>"2018/10/05"</f>
        <v>2018/10/05</v>
      </c>
      <c r="J3385" t="str">
        <f>"420"</f>
        <v>420</v>
      </c>
      <c r="K3385" t="s">
        <v>18</v>
      </c>
      <c r="L3385" t="s">
        <v>18</v>
      </c>
      <c r="M3385" t="s">
        <v>18</v>
      </c>
    </row>
    <row r="3386" spans="1:13" x14ac:dyDescent="0.25">
      <c r="A3386" t="str">
        <f>"00720359"</f>
        <v>00720359</v>
      </c>
      <c r="B3386" t="s">
        <v>1857</v>
      </c>
      <c r="C3386" t="s">
        <v>754</v>
      </c>
      <c r="D3386" t="s">
        <v>25</v>
      </c>
      <c r="E3386" t="s">
        <v>16</v>
      </c>
      <c r="F3386" t="s">
        <v>17</v>
      </c>
      <c r="G3386" t="str">
        <f>"10"</f>
        <v>10</v>
      </c>
      <c r="H3386" t="str">
        <f>"3  "</f>
        <v xml:space="preserve">3  </v>
      </c>
      <c r="I3386" t="str">
        <f>"2020/02/07"</f>
        <v>2020/02/07</v>
      </c>
      <c r="J3386" t="str">
        <f>"110"</f>
        <v>110</v>
      </c>
      <c r="K3386" t="str">
        <f>"20211113"</f>
        <v>20211113</v>
      </c>
      <c r="L3386" t="s">
        <v>18</v>
      </c>
      <c r="M3386" t="str">
        <f>"20200115"</f>
        <v>20200115</v>
      </c>
    </row>
    <row r="3387" spans="1:13" x14ac:dyDescent="0.25">
      <c r="A3387" t="str">
        <f>"00182591"</f>
        <v>00182591</v>
      </c>
      <c r="B3387" t="s">
        <v>1859</v>
      </c>
      <c r="C3387" t="s">
        <v>74</v>
      </c>
      <c r="D3387" t="s">
        <v>25</v>
      </c>
      <c r="E3387" t="s">
        <v>16</v>
      </c>
      <c r="F3387" t="s">
        <v>17</v>
      </c>
      <c r="G3387" t="str">
        <f>"10"</f>
        <v>10</v>
      </c>
      <c r="H3387" t="str">
        <f>"1  "</f>
        <v xml:space="preserve">1  </v>
      </c>
      <c r="I3387" t="str">
        <f>"2020/08/28"</f>
        <v>2020/08/28</v>
      </c>
      <c r="J3387" t="str">
        <f>"120"</f>
        <v>120</v>
      </c>
      <c r="K3387" t="str">
        <f>"20201030"</f>
        <v>20201030</v>
      </c>
      <c r="L3387" t="s">
        <v>18</v>
      </c>
      <c r="M3387" t="str">
        <f>"20200808"</f>
        <v>20200808</v>
      </c>
    </row>
    <row r="3388" spans="1:13" x14ac:dyDescent="0.25">
      <c r="A3388" t="str">
        <f>"00346226"</f>
        <v>00346226</v>
      </c>
      <c r="B3388" t="s">
        <v>1864</v>
      </c>
      <c r="C3388" t="s">
        <v>72</v>
      </c>
      <c r="D3388" t="s">
        <v>15</v>
      </c>
      <c r="E3388" t="s">
        <v>16</v>
      </c>
      <c r="F3388" t="s">
        <v>17</v>
      </c>
      <c r="G3388" t="str">
        <f>"10"</f>
        <v>10</v>
      </c>
      <c r="H3388" t="str">
        <f>"3  "</f>
        <v xml:space="preserve">3  </v>
      </c>
      <c r="I3388" t="str">
        <f>"2019/08/16"</f>
        <v>2019/08/16</v>
      </c>
      <c r="J3388" t="str">
        <f>"502"</f>
        <v>502</v>
      </c>
      <c r="K3388" t="str">
        <f>"20201117"</f>
        <v>20201117</v>
      </c>
      <c r="L3388" t="s">
        <v>18</v>
      </c>
      <c r="M3388" t="str">
        <f>"20180525"</f>
        <v>20180525</v>
      </c>
    </row>
    <row r="3389" spans="1:13" x14ac:dyDescent="0.25">
      <c r="A3389" t="str">
        <f>"00425037"</f>
        <v>00425037</v>
      </c>
      <c r="B3389" t="s">
        <v>1864</v>
      </c>
      <c r="C3389" t="s">
        <v>627</v>
      </c>
      <c r="D3389" t="s">
        <v>15</v>
      </c>
      <c r="E3389" t="s">
        <v>26</v>
      </c>
      <c r="F3389" t="s">
        <v>17</v>
      </c>
      <c r="G3389" t="str">
        <f>"10"</f>
        <v>10</v>
      </c>
      <c r="H3389" t="str">
        <f>"0  "</f>
        <v xml:space="preserve">0  </v>
      </c>
      <c r="I3389" t="str">
        <f>"2020/04/26"</f>
        <v>2020/04/26</v>
      </c>
      <c r="J3389" t="str">
        <f>"420"</f>
        <v>420</v>
      </c>
      <c r="K3389" t="s">
        <v>18</v>
      </c>
      <c r="L3389" t="s">
        <v>18</v>
      </c>
      <c r="M3389" t="s">
        <v>18</v>
      </c>
    </row>
    <row r="3390" spans="1:13" x14ac:dyDescent="0.25">
      <c r="A3390" t="str">
        <f>"00523373"</f>
        <v>00523373</v>
      </c>
      <c r="B3390" t="s">
        <v>1872</v>
      </c>
      <c r="C3390" t="s">
        <v>150</v>
      </c>
      <c r="D3390" t="s">
        <v>16</v>
      </c>
      <c r="E3390" t="s">
        <v>16</v>
      </c>
      <c r="F3390" t="s">
        <v>17</v>
      </c>
      <c r="G3390" t="str">
        <f>"10"</f>
        <v>10</v>
      </c>
      <c r="H3390" t="str">
        <f>"0  "</f>
        <v xml:space="preserve">0  </v>
      </c>
      <c r="I3390" t="str">
        <f>"2020/07/08"</f>
        <v>2020/07/08</v>
      </c>
      <c r="J3390" t="str">
        <f>"420"</f>
        <v>420</v>
      </c>
      <c r="K3390" t="s">
        <v>18</v>
      </c>
      <c r="L3390" t="s">
        <v>18</v>
      </c>
      <c r="M3390" t="s">
        <v>18</v>
      </c>
    </row>
    <row r="3391" spans="1:13" x14ac:dyDescent="0.25">
      <c r="A3391" t="str">
        <f>"00424162"</f>
        <v>00424162</v>
      </c>
      <c r="B3391" t="s">
        <v>1880</v>
      </c>
      <c r="C3391" t="s">
        <v>122</v>
      </c>
      <c r="D3391" t="s">
        <v>21</v>
      </c>
      <c r="E3391" t="s">
        <v>26</v>
      </c>
      <c r="F3391" t="s">
        <v>17</v>
      </c>
      <c r="G3391" t="str">
        <f>"10"</f>
        <v>10</v>
      </c>
      <c r="H3391" t="str">
        <f>"3  "</f>
        <v xml:space="preserve">3  </v>
      </c>
      <c r="I3391" t="str">
        <f>"2020/09/11"</f>
        <v>2020/09/11</v>
      </c>
      <c r="J3391" t="str">
        <f>"110"</f>
        <v>110</v>
      </c>
      <c r="K3391" t="str">
        <f>"20230410"</f>
        <v>20230410</v>
      </c>
      <c r="L3391" t="s">
        <v>18</v>
      </c>
      <c r="M3391" t="str">
        <f>"20200910"</f>
        <v>20200910</v>
      </c>
    </row>
    <row r="3392" spans="1:13" x14ac:dyDescent="0.25">
      <c r="A3392" t="str">
        <f>"00616453"</f>
        <v>00616453</v>
      </c>
      <c r="B3392" t="s">
        <v>1884</v>
      </c>
      <c r="C3392" t="s">
        <v>656</v>
      </c>
      <c r="D3392" t="s">
        <v>53</v>
      </c>
      <c r="E3392" t="s">
        <v>26</v>
      </c>
      <c r="F3392" t="s">
        <v>17</v>
      </c>
      <c r="G3392" t="str">
        <f>"10"</f>
        <v>10</v>
      </c>
      <c r="H3392" t="str">
        <f>"0  "</f>
        <v xml:space="preserve">0  </v>
      </c>
      <c r="I3392" t="str">
        <f>"2020/07/07"</f>
        <v>2020/07/07</v>
      </c>
      <c r="J3392" t="str">
        <f>"420"</f>
        <v>420</v>
      </c>
      <c r="K3392" t="s">
        <v>18</v>
      </c>
      <c r="L3392" t="s">
        <v>18</v>
      </c>
      <c r="M3392" t="s">
        <v>18</v>
      </c>
    </row>
    <row r="3393" spans="1:13" x14ac:dyDescent="0.25">
      <c r="A3393" t="str">
        <f>"00887021"</f>
        <v>00887021</v>
      </c>
      <c r="B3393" t="s">
        <v>1885</v>
      </c>
      <c r="C3393" t="s">
        <v>1886</v>
      </c>
      <c r="D3393" t="s">
        <v>25</v>
      </c>
      <c r="E3393" t="s">
        <v>16</v>
      </c>
      <c r="F3393" t="s">
        <v>17</v>
      </c>
      <c r="G3393" t="str">
        <f>"10"</f>
        <v>10</v>
      </c>
      <c r="H3393" t="str">
        <f>"3  "</f>
        <v xml:space="preserve">3  </v>
      </c>
      <c r="I3393" t="str">
        <f>"2020/03/09"</f>
        <v>2020/03/09</v>
      </c>
      <c r="J3393" t="str">
        <f>"110"</f>
        <v>110</v>
      </c>
      <c r="K3393" t="str">
        <f>"20210530"</f>
        <v>20210530</v>
      </c>
      <c r="L3393" t="s">
        <v>18</v>
      </c>
      <c r="M3393" t="str">
        <f>"20190730"</f>
        <v>20190730</v>
      </c>
    </row>
    <row r="3394" spans="1:13" x14ac:dyDescent="0.25">
      <c r="A3394" t="str">
        <f>"00643274"</f>
        <v>00643274</v>
      </c>
      <c r="B3394" t="s">
        <v>1891</v>
      </c>
      <c r="C3394" t="s">
        <v>1314</v>
      </c>
      <c r="D3394" t="s">
        <v>97</v>
      </c>
      <c r="E3394" t="s">
        <v>16</v>
      </c>
      <c r="F3394" t="s">
        <v>17</v>
      </c>
      <c r="G3394" t="str">
        <f>"10"</f>
        <v>10</v>
      </c>
      <c r="H3394" t="str">
        <f>"3  "</f>
        <v xml:space="preserve">3  </v>
      </c>
      <c r="I3394" t="str">
        <f>"2020/07/22"</f>
        <v>2020/07/22</v>
      </c>
      <c r="J3394" t="str">
        <f>"512"</f>
        <v>512</v>
      </c>
      <c r="K3394" t="str">
        <f>"20220419"</f>
        <v>20220419</v>
      </c>
      <c r="L3394" t="s">
        <v>18</v>
      </c>
      <c r="M3394" t="str">
        <f>"20200721"</f>
        <v>20200721</v>
      </c>
    </row>
    <row r="3395" spans="1:13" x14ac:dyDescent="0.25">
      <c r="A3395" t="str">
        <f>"00671033"</f>
        <v>00671033</v>
      </c>
      <c r="B3395" t="s">
        <v>1894</v>
      </c>
      <c r="C3395" t="s">
        <v>1895</v>
      </c>
      <c r="D3395" t="s">
        <v>25</v>
      </c>
      <c r="E3395" t="s">
        <v>26</v>
      </c>
      <c r="F3395" t="s">
        <v>17</v>
      </c>
      <c r="G3395" t="str">
        <f>"10"</f>
        <v>10</v>
      </c>
      <c r="H3395" t="str">
        <f>"3  "</f>
        <v xml:space="preserve">3  </v>
      </c>
      <c r="I3395" t="str">
        <f>"2018/09/14"</f>
        <v>2018/09/14</v>
      </c>
      <c r="J3395" t="str">
        <f>"110"</f>
        <v>110</v>
      </c>
      <c r="K3395" t="str">
        <f>"20230818"</f>
        <v>20230818</v>
      </c>
      <c r="L3395" t="s">
        <v>18</v>
      </c>
      <c r="M3395" t="str">
        <f>"20180507"</f>
        <v>20180507</v>
      </c>
    </row>
    <row r="3396" spans="1:13" x14ac:dyDescent="0.25">
      <c r="A3396" t="str">
        <f>"00747632"</f>
        <v>00747632</v>
      </c>
      <c r="B3396" t="s">
        <v>1894</v>
      </c>
      <c r="C3396" t="s">
        <v>1896</v>
      </c>
      <c r="D3396" t="s">
        <v>25</v>
      </c>
      <c r="E3396" t="s">
        <v>26</v>
      </c>
      <c r="F3396" t="s">
        <v>17</v>
      </c>
      <c r="G3396" t="str">
        <f>"10"</f>
        <v>10</v>
      </c>
      <c r="H3396" t="str">
        <f>"3  "</f>
        <v xml:space="preserve">3  </v>
      </c>
      <c r="I3396" t="str">
        <f>"2020/04/06"</f>
        <v>2020/04/06</v>
      </c>
      <c r="J3396" t="str">
        <f>"505"</f>
        <v>505</v>
      </c>
      <c r="K3396" t="str">
        <f>"20210908"</f>
        <v>20210908</v>
      </c>
      <c r="L3396" t="s">
        <v>18</v>
      </c>
      <c r="M3396" t="str">
        <f>"20200324"</f>
        <v>20200324</v>
      </c>
    </row>
    <row r="3397" spans="1:13" x14ac:dyDescent="0.25">
      <c r="A3397" t="str">
        <f>"00457617"</f>
        <v>00457617</v>
      </c>
      <c r="B3397" t="s">
        <v>1898</v>
      </c>
      <c r="C3397" t="s">
        <v>191</v>
      </c>
      <c r="D3397" t="s">
        <v>51</v>
      </c>
      <c r="E3397" t="s">
        <v>26</v>
      </c>
      <c r="F3397" t="s">
        <v>17</v>
      </c>
      <c r="G3397" t="str">
        <f>"10"</f>
        <v>10</v>
      </c>
      <c r="H3397" t="str">
        <f>"3  "</f>
        <v xml:space="preserve">3  </v>
      </c>
      <c r="I3397" t="str">
        <f>"2020/09/16"</f>
        <v>2020/09/16</v>
      </c>
      <c r="J3397" t="str">
        <f>"502"</f>
        <v>502</v>
      </c>
      <c r="K3397" t="str">
        <f>"20210809"</f>
        <v>20210809</v>
      </c>
      <c r="L3397" t="s">
        <v>18</v>
      </c>
      <c r="M3397" t="str">
        <f>"20140604"</f>
        <v>20140604</v>
      </c>
    </row>
    <row r="3398" spans="1:13" x14ac:dyDescent="0.25">
      <c r="A3398" t="str">
        <f>"00703160"</f>
        <v>00703160</v>
      </c>
      <c r="B3398" t="s">
        <v>1898</v>
      </c>
      <c r="C3398" t="s">
        <v>1899</v>
      </c>
      <c r="D3398" t="s">
        <v>21</v>
      </c>
      <c r="E3398" t="s">
        <v>26</v>
      </c>
      <c r="F3398" t="s">
        <v>17</v>
      </c>
      <c r="G3398" t="str">
        <f>"10"</f>
        <v>10</v>
      </c>
      <c r="H3398" t="str">
        <f>"0  "</f>
        <v xml:space="preserve">0  </v>
      </c>
      <c r="I3398" t="str">
        <f>"2019/08/19"</f>
        <v>2019/08/19</v>
      </c>
      <c r="J3398" t="str">
        <f>"420"</f>
        <v>420</v>
      </c>
      <c r="K3398" t="s">
        <v>18</v>
      </c>
      <c r="L3398" t="s">
        <v>18</v>
      </c>
      <c r="M3398" t="s">
        <v>18</v>
      </c>
    </row>
    <row r="3399" spans="1:13" x14ac:dyDescent="0.25">
      <c r="A3399" t="str">
        <f>"00746078"</f>
        <v>00746078</v>
      </c>
      <c r="B3399" t="s">
        <v>1898</v>
      </c>
      <c r="C3399" t="s">
        <v>304</v>
      </c>
      <c r="D3399" t="s">
        <v>25</v>
      </c>
      <c r="E3399" t="s">
        <v>26</v>
      </c>
      <c r="F3399" t="s">
        <v>17</v>
      </c>
      <c r="G3399" t="str">
        <f>"10"</f>
        <v>10</v>
      </c>
      <c r="H3399" t="str">
        <f>"3  "</f>
        <v xml:space="preserve">3  </v>
      </c>
      <c r="I3399" t="str">
        <f>"2020/01/09"</f>
        <v>2020/01/09</v>
      </c>
      <c r="J3399" t="str">
        <f>"120"</f>
        <v>120</v>
      </c>
      <c r="K3399" t="str">
        <f>"20201015"</f>
        <v>20201015</v>
      </c>
      <c r="L3399" t="s">
        <v>18</v>
      </c>
      <c r="M3399" t="str">
        <f>"20191010"</f>
        <v>20191010</v>
      </c>
    </row>
    <row r="3400" spans="1:13" x14ac:dyDescent="0.25">
      <c r="A3400" t="str">
        <f>"00913821"</f>
        <v>00913821</v>
      </c>
      <c r="B3400" t="s">
        <v>1898</v>
      </c>
      <c r="C3400" t="s">
        <v>1900</v>
      </c>
      <c r="D3400" t="s">
        <v>25</v>
      </c>
      <c r="E3400" t="s">
        <v>26</v>
      </c>
      <c r="F3400" t="s">
        <v>17</v>
      </c>
      <c r="G3400" t="str">
        <f>"10"</f>
        <v>10</v>
      </c>
      <c r="H3400" t="str">
        <f>"0  "</f>
        <v xml:space="preserve">0  </v>
      </c>
      <c r="I3400" t="str">
        <f>"2020/09/18"</f>
        <v>2020/09/18</v>
      </c>
      <c r="J3400" t="str">
        <f>"420"</f>
        <v>420</v>
      </c>
      <c r="K3400" t="s">
        <v>18</v>
      </c>
      <c r="L3400" t="s">
        <v>18</v>
      </c>
      <c r="M3400" t="s">
        <v>18</v>
      </c>
    </row>
    <row r="3401" spans="1:13" x14ac:dyDescent="0.25">
      <c r="A3401" t="str">
        <f>"00678647"</f>
        <v>00678647</v>
      </c>
      <c r="B3401" t="s">
        <v>1907</v>
      </c>
      <c r="C3401" t="s">
        <v>1908</v>
      </c>
      <c r="D3401" t="s">
        <v>61</v>
      </c>
      <c r="E3401" t="s">
        <v>16</v>
      </c>
      <c r="F3401" t="s">
        <v>17</v>
      </c>
      <c r="G3401" t="str">
        <f>"10"</f>
        <v>10</v>
      </c>
      <c r="H3401" t="str">
        <f>"3  "</f>
        <v xml:space="preserve">3  </v>
      </c>
      <c r="I3401" t="str">
        <f>"2017/07/17"</f>
        <v>2017/07/17</v>
      </c>
      <c r="J3401" t="str">
        <f>"110"</f>
        <v>110</v>
      </c>
      <c r="K3401" t="str">
        <f>"20220316"</f>
        <v>20220316</v>
      </c>
      <c r="L3401" t="s">
        <v>18</v>
      </c>
      <c r="M3401" t="str">
        <f>"20170325"</f>
        <v>20170325</v>
      </c>
    </row>
    <row r="3402" spans="1:13" x14ac:dyDescent="0.25">
      <c r="A3402" t="str">
        <f>"00201329"</f>
        <v>00201329</v>
      </c>
      <c r="B3402" t="s">
        <v>1913</v>
      </c>
      <c r="C3402" t="s">
        <v>320</v>
      </c>
      <c r="D3402" t="s">
        <v>15</v>
      </c>
      <c r="E3402" t="s">
        <v>26</v>
      </c>
      <c r="F3402" t="s">
        <v>17</v>
      </c>
      <c r="G3402" t="str">
        <f>"10"</f>
        <v>10</v>
      </c>
      <c r="H3402" t="str">
        <f>"3  "</f>
        <v xml:space="preserve">3  </v>
      </c>
      <c r="I3402" t="str">
        <f>"2019/01/11"</f>
        <v>2019/01/11</v>
      </c>
      <c r="J3402" t="str">
        <f>"110"</f>
        <v>110</v>
      </c>
      <c r="K3402" t="str">
        <f>"20220529"</f>
        <v>20220529</v>
      </c>
      <c r="L3402" t="s">
        <v>18</v>
      </c>
      <c r="M3402" t="str">
        <f>"20180304"</f>
        <v>20180304</v>
      </c>
    </row>
    <row r="3403" spans="1:13" x14ac:dyDescent="0.25">
      <c r="A3403" t="str">
        <f>"00170681"</f>
        <v>00170681</v>
      </c>
      <c r="B3403" t="s">
        <v>1915</v>
      </c>
      <c r="C3403" t="s">
        <v>55</v>
      </c>
      <c r="D3403" t="s">
        <v>21</v>
      </c>
      <c r="E3403" t="s">
        <v>16</v>
      </c>
      <c r="F3403" t="s">
        <v>17</v>
      </c>
      <c r="G3403" t="str">
        <f>"10"</f>
        <v>10</v>
      </c>
      <c r="H3403" t="str">
        <f>"0  "</f>
        <v xml:space="preserve">0  </v>
      </c>
      <c r="I3403" t="str">
        <f>"2020/07/23"</f>
        <v>2020/07/23</v>
      </c>
      <c r="J3403" t="str">
        <f>"420"</f>
        <v>420</v>
      </c>
      <c r="K3403" t="s">
        <v>18</v>
      </c>
      <c r="L3403" t="s">
        <v>18</v>
      </c>
      <c r="M3403" t="s">
        <v>18</v>
      </c>
    </row>
    <row r="3404" spans="1:13" x14ac:dyDescent="0.25">
      <c r="A3404" t="str">
        <f>"00669931"</f>
        <v>00669931</v>
      </c>
      <c r="B3404" t="s">
        <v>1919</v>
      </c>
      <c r="C3404" t="s">
        <v>74</v>
      </c>
      <c r="D3404" t="s">
        <v>51</v>
      </c>
      <c r="E3404" t="s">
        <v>16</v>
      </c>
      <c r="F3404" t="s">
        <v>17</v>
      </c>
      <c r="G3404" t="str">
        <f>"10"</f>
        <v>10</v>
      </c>
      <c r="H3404" t="str">
        <f>"3  "</f>
        <v xml:space="preserve">3  </v>
      </c>
      <c r="I3404" t="str">
        <f>"2020/05/19"</f>
        <v>2020/05/19</v>
      </c>
      <c r="J3404" t="str">
        <f>"110"</f>
        <v>110</v>
      </c>
      <c r="K3404" t="str">
        <f>"20221229"</f>
        <v>20221229</v>
      </c>
      <c r="L3404" t="s">
        <v>18</v>
      </c>
      <c r="M3404" t="str">
        <f>"20200406"</f>
        <v>20200406</v>
      </c>
    </row>
    <row r="3405" spans="1:13" x14ac:dyDescent="0.25">
      <c r="A3405" t="str">
        <f>"00415999"</f>
        <v>00415999</v>
      </c>
      <c r="B3405" t="s">
        <v>1920</v>
      </c>
      <c r="C3405" t="s">
        <v>74</v>
      </c>
      <c r="D3405" t="s">
        <v>21</v>
      </c>
      <c r="E3405" t="s">
        <v>26</v>
      </c>
      <c r="F3405" t="s">
        <v>17</v>
      </c>
      <c r="G3405" t="str">
        <f>"10"</f>
        <v>10</v>
      </c>
      <c r="H3405" t="str">
        <f>"0  "</f>
        <v xml:space="preserve">0  </v>
      </c>
      <c r="I3405" t="str">
        <f>"2020/07/17"</f>
        <v>2020/07/17</v>
      </c>
      <c r="J3405" t="str">
        <f>"420"</f>
        <v>420</v>
      </c>
      <c r="K3405" t="s">
        <v>18</v>
      </c>
      <c r="L3405" t="s">
        <v>18</v>
      </c>
      <c r="M3405" t="s">
        <v>18</v>
      </c>
    </row>
    <row r="3406" spans="1:13" x14ac:dyDescent="0.25">
      <c r="A3406" t="str">
        <f>"00173326"</f>
        <v>00173326</v>
      </c>
      <c r="B3406" t="s">
        <v>1920</v>
      </c>
      <c r="C3406" t="s">
        <v>304</v>
      </c>
      <c r="D3406" t="s">
        <v>51</v>
      </c>
      <c r="E3406" t="s">
        <v>26</v>
      </c>
      <c r="F3406" t="s">
        <v>17</v>
      </c>
      <c r="G3406" t="str">
        <f>"10"</f>
        <v>10</v>
      </c>
      <c r="H3406" t="str">
        <f>"3  "</f>
        <v xml:space="preserve">3  </v>
      </c>
      <c r="I3406" t="str">
        <f>"2020/08/27"</f>
        <v>2020/08/27</v>
      </c>
      <c r="J3406" t="str">
        <f>"120"</f>
        <v>120</v>
      </c>
      <c r="K3406" t="str">
        <f>"20300120"</f>
        <v>20300120</v>
      </c>
      <c r="L3406" t="s">
        <v>18</v>
      </c>
      <c r="M3406" t="str">
        <f>"20200819"</f>
        <v>20200819</v>
      </c>
    </row>
    <row r="3407" spans="1:13" x14ac:dyDescent="0.25">
      <c r="A3407" t="str">
        <f>"00620406"</f>
        <v>00620406</v>
      </c>
      <c r="B3407" t="s">
        <v>1923</v>
      </c>
      <c r="C3407" t="s">
        <v>169</v>
      </c>
      <c r="D3407" t="s">
        <v>45</v>
      </c>
      <c r="E3407" t="s">
        <v>16</v>
      </c>
      <c r="F3407" t="s">
        <v>17</v>
      </c>
      <c r="G3407" t="str">
        <f>"10"</f>
        <v>10</v>
      </c>
      <c r="H3407" t="str">
        <f>"1  "</f>
        <v xml:space="preserve">1  </v>
      </c>
      <c r="I3407" t="str">
        <f>"2020/08/05"</f>
        <v>2020/08/05</v>
      </c>
      <c r="J3407" t="str">
        <f>"110"</f>
        <v>110</v>
      </c>
      <c r="K3407" t="str">
        <f>"20201020"</f>
        <v>20201020</v>
      </c>
      <c r="L3407" t="s">
        <v>18</v>
      </c>
      <c r="M3407" t="str">
        <f>"20200729"</f>
        <v>20200729</v>
      </c>
    </row>
    <row r="3408" spans="1:13" x14ac:dyDescent="0.25">
      <c r="A3408" t="str">
        <f>"00681031"</f>
        <v>00681031</v>
      </c>
      <c r="B3408" t="s">
        <v>1924</v>
      </c>
      <c r="C3408" t="s">
        <v>191</v>
      </c>
      <c r="D3408" t="s">
        <v>61</v>
      </c>
      <c r="E3408" t="s">
        <v>26</v>
      </c>
      <c r="F3408" t="s">
        <v>17</v>
      </c>
      <c r="G3408" t="str">
        <f>"10"</f>
        <v>10</v>
      </c>
      <c r="H3408" t="str">
        <f>"3  "</f>
        <v xml:space="preserve">3  </v>
      </c>
      <c r="I3408" t="str">
        <f>"2020/09/16"</f>
        <v>2020/09/16</v>
      </c>
      <c r="J3408" t="str">
        <f>"110"</f>
        <v>110</v>
      </c>
      <c r="K3408" t="str">
        <f>"20220625"</f>
        <v>20220625</v>
      </c>
      <c r="L3408" t="s">
        <v>18</v>
      </c>
      <c r="M3408" t="str">
        <f>"20190930"</f>
        <v>20190930</v>
      </c>
    </row>
    <row r="3409" spans="1:13" x14ac:dyDescent="0.25">
      <c r="A3409" t="str">
        <f>"00435586"</f>
        <v>00435586</v>
      </c>
      <c r="B3409" t="s">
        <v>1924</v>
      </c>
      <c r="C3409" t="s">
        <v>135</v>
      </c>
      <c r="D3409" t="s">
        <v>25</v>
      </c>
      <c r="E3409" t="s">
        <v>26</v>
      </c>
      <c r="F3409" t="s">
        <v>17</v>
      </c>
      <c r="G3409" t="str">
        <f>"10"</f>
        <v>10</v>
      </c>
      <c r="H3409" t="str">
        <f>"0  "</f>
        <v xml:space="preserve">0  </v>
      </c>
      <c r="I3409" t="str">
        <f>"2020/05/26"</f>
        <v>2020/05/26</v>
      </c>
      <c r="J3409" t="str">
        <f>"420"</f>
        <v>420</v>
      </c>
      <c r="K3409" t="s">
        <v>18</v>
      </c>
      <c r="L3409" t="s">
        <v>18</v>
      </c>
      <c r="M3409" t="s">
        <v>18</v>
      </c>
    </row>
    <row r="3410" spans="1:13" x14ac:dyDescent="0.25">
      <c r="A3410" t="str">
        <f>"00430147"</f>
        <v>00430147</v>
      </c>
      <c r="B3410" t="s">
        <v>1924</v>
      </c>
      <c r="C3410" t="s">
        <v>1806</v>
      </c>
      <c r="D3410" t="s">
        <v>80</v>
      </c>
      <c r="E3410" t="s">
        <v>26</v>
      </c>
      <c r="F3410" t="s">
        <v>17</v>
      </c>
      <c r="G3410" t="str">
        <f>"10"</f>
        <v>10</v>
      </c>
      <c r="H3410" t="str">
        <f>"3  "</f>
        <v xml:space="preserve">3  </v>
      </c>
      <c r="I3410" t="str">
        <f>"2020/03/10"</f>
        <v>2020/03/10</v>
      </c>
      <c r="J3410" t="str">
        <f>"110"</f>
        <v>110</v>
      </c>
      <c r="K3410" t="str">
        <f>"20230114"</f>
        <v>20230114</v>
      </c>
      <c r="L3410" t="s">
        <v>18</v>
      </c>
      <c r="M3410" t="str">
        <f>"20181215"</f>
        <v>20181215</v>
      </c>
    </row>
    <row r="3411" spans="1:13" x14ac:dyDescent="0.25">
      <c r="A3411" t="str">
        <f>"00523365"</f>
        <v>00523365</v>
      </c>
      <c r="B3411" t="s">
        <v>1925</v>
      </c>
      <c r="C3411" t="s">
        <v>1926</v>
      </c>
      <c r="D3411" t="s">
        <v>61</v>
      </c>
      <c r="E3411" t="s">
        <v>26</v>
      </c>
      <c r="F3411" t="s">
        <v>17</v>
      </c>
      <c r="G3411" t="str">
        <f>"10"</f>
        <v>10</v>
      </c>
      <c r="H3411" t="str">
        <f>"0  "</f>
        <v xml:space="preserve">0  </v>
      </c>
      <c r="I3411" t="str">
        <f>"2020/08/07"</f>
        <v>2020/08/07</v>
      </c>
      <c r="J3411" t="str">
        <f>"420"</f>
        <v>420</v>
      </c>
      <c r="K3411" t="s">
        <v>18</v>
      </c>
      <c r="L3411" t="s">
        <v>18</v>
      </c>
      <c r="M3411" t="s">
        <v>18</v>
      </c>
    </row>
    <row r="3412" spans="1:13" x14ac:dyDescent="0.25">
      <c r="A3412" t="str">
        <f>"00257069"</f>
        <v>00257069</v>
      </c>
      <c r="B3412" t="s">
        <v>1927</v>
      </c>
      <c r="C3412" t="s">
        <v>1895</v>
      </c>
      <c r="D3412" t="s">
        <v>456</v>
      </c>
      <c r="E3412" t="s">
        <v>16</v>
      </c>
      <c r="F3412" t="s">
        <v>17</v>
      </c>
      <c r="G3412" t="str">
        <f>"10"</f>
        <v>10</v>
      </c>
      <c r="H3412" t="str">
        <f>"0  "</f>
        <v xml:space="preserve">0  </v>
      </c>
      <c r="I3412" t="str">
        <f>"2020/08/27"</f>
        <v>2020/08/27</v>
      </c>
      <c r="J3412" t="str">
        <f>"420"</f>
        <v>420</v>
      </c>
      <c r="K3412" t="s">
        <v>18</v>
      </c>
      <c r="L3412" t="s">
        <v>18</v>
      </c>
      <c r="M3412" t="s">
        <v>18</v>
      </c>
    </row>
    <row r="3413" spans="1:13" x14ac:dyDescent="0.25">
      <c r="A3413" t="str">
        <f>"00356955"</f>
        <v>00356955</v>
      </c>
      <c r="B3413" t="s">
        <v>1927</v>
      </c>
      <c r="C3413" t="s">
        <v>342</v>
      </c>
      <c r="D3413" t="s">
        <v>25</v>
      </c>
      <c r="E3413" t="s">
        <v>26</v>
      </c>
      <c r="F3413" t="s">
        <v>17</v>
      </c>
      <c r="G3413" t="str">
        <f>"10"</f>
        <v>10</v>
      </c>
      <c r="H3413" t="str">
        <f>"3  "</f>
        <v xml:space="preserve">3  </v>
      </c>
      <c r="I3413" t="str">
        <f>"2019/12/12"</f>
        <v>2019/12/12</v>
      </c>
      <c r="J3413" t="str">
        <f>"110"</f>
        <v>110</v>
      </c>
      <c r="K3413" t="str">
        <f>"20211124"</f>
        <v>20211124</v>
      </c>
      <c r="L3413" t="s">
        <v>18</v>
      </c>
      <c r="M3413" t="str">
        <f>"20190407"</f>
        <v>20190407</v>
      </c>
    </row>
    <row r="3414" spans="1:13" x14ac:dyDescent="0.25">
      <c r="A3414" t="str">
        <f>"00248729"</f>
        <v>00248729</v>
      </c>
      <c r="B3414" t="s">
        <v>1931</v>
      </c>
      <c r="C3414" t="s">
        <v>14</v>
      </c>
      <c r="D3414" t="s">
        <v>21</v>
      </c>
      <c r="E3414" t="s">
        <v>26</v>
      </c>
      <c r="F3414" t="s">
        <v>17</v>
      </c>
      <c r="G3414" t="str">
        <f>"10"</f>
        <v>10</v>
      </c>
      <c r="H3414" t="str">
        <f>"0  "</f>
        <v xml:space="preserve">0  </v>
      </c>
      <c r="I3414" t="str">
        <f>"2020/07/22"</f>
        <v>2020/07/22</v>
      </c>
      <c r="J3414" t="str">
        <f>"512"</f>
        <v>512</v>
      </c>
      <c r="K3414" t="s">
        <v>18</v>
      </c>
      <c r="L3414" t="s">
        <v>18</v>
      </c>
      <c r="M3414" t="s">
        <v>18</v>
      </c>
    </row>
    <row r="3415" spans="1:13" x14ac:dyDescent="0.25">
      <c r="A3415" t="str">
        <f>"00295420"</f>
        <v>00295420</v>
      </c>
      <c r="B3415" t="s">
        <v>1935</v>
      </c>
      <c r="C3415" t="s">
        <v>136</v>
      </c>
      <c r="D3415" t="s">
        <v>15</v>
      </c>
      <c r="E3415" t="s">
        <v>16</v>
      </c>
      <c r="F3415" t="s">
        <v>17</v>
      </c>
      <c r="G3415" t="str">
        <f>"10"</f>
        <v>10</v>
      </c>
      <c r="H3415" t="str">
        <f>"0  "</f>
        <v xml:space="preserve">0  </v>
      </c>
      <c r="I3415" t="str">
        <f>"2020/02/02"</f>
        <v>2020/02/02</v>
      </c>
      <c r="J3415" t="str">
        <f>"420"</f>
        <v>420</v>
      </c>
      <c r="K3415" t="s">
        <v>18</v>
      </c>
      <c r="L3415" t="s">
        <v>18</v>
      </c>
      <c r="M3415" t="s">
        <v>18</v>
      </c>
    </row>
    <row r="3416" spans="1:13" x14ac:dyDescent="0.25">
      <c r="A3416" t="str">
        <f>"00829792"</f>
        <v>00829792</v>
      </c>
      <c r="B3416" t="s">
        <v>1939</v>
      </c>
      <c r="C3416" t="s">
        <v>568</v>
      </c>
      <c r="D3416" t="s">
        <v>53</v>
      </c>
      <c r="E3416" t="s">
        <v>26</v>
      </c>
      <c r="F3416" t="s">
        <v>17</v>
      </c>
      <c r="G3416" t="str">
        <f>"10"</f>
        <v>10</v>
      </c>
      <c r="H3416" t="str">
        <f>"0  "</f>
        <v xml:space="preserve">0  </v>
      </c>
      <c r="I3416" t="str">
        <f>"2020/08/24"</f>
        <v>2020/08/24</v>
      </c>
      <c r="J3416" t="str">
        <f>"420"</f>
        <v>420</v>
      </c>
      <c r="K3416" t="s">
        <v>18</v>
      </c>
      <c r="L3416" t="s">
        <v>18</v>
      </c>
      <c r="M3416" t="s">
        <v>18</v>
      </c>
    </row>
    <row r="3417" spans="1:13" x14ac:dyDescent="0.25">
      <c r="A3417" t="str">
        <f>"00503975"</f>
        <v>00503975</v>
      </c>
      <c r="B3417" t="s">
        <v>1942</v>
      </c>
      <c r="C3417" t="s">
        <v>191</v>
      </c>
      <c r="D3417" t="s">
        <v>25</v>
      </c>
      <c r="E3417" t="s">
        <v>16</v>
      </c>
      <c r="F3417" t="s">
        <v>17</v>
      </c>
      <c r="G3417" t="str">
        <f>"10"</f>
        <v>10</v>
      </c>
      <c r="H3417" t="str">
        <f>"3  "</f>
        <v xml:space="preserve">3  </v>
      </c>
      <c r="I3417" t="str">
        <f>"2015/03/24"</f>
        <v>2015/03/24</v>
      </c>
      <c r="J3417" t="str">
        <f>"110"</f>
        <v>110</v>
      </c>
      <c r="K3417" t="str">
        <f>"20210918"</f>
        <v>20210918</v>
      </c>
      <c r="L3417" t="s">
        <v>18</v>
      </c>
      <c r="M3417" t="str">
        <f>"20130414"</f>
        <v>20130414</v>
      </c>
    </row>
    <row r="3418" spans="1:13" x14ac:dyDescent="0.25">
      <c r="A3418" t="str">
        <f>"00882078"</f>
        <v>00882078</v>
      </c>
      <c r="B3418" t="s">
        <v>1942</v>
      </c>
      <c r="C3418" t="s">
        <v>1943</v>
      </c>
      <c r="D3418" t="s">
        <v>15</v>
      </c>
      <c r="E3418" t="s">
        <v>26</v>
      </c>
      <c r="F3418" t="s">
        <v>17</v>
      </c>
      <c r="G3418" t="str">
        <f>"10"</f>
        <v>10</v>
      </c>
      <c r="H3418" t="str">
        <f>"0  "</f>
        <v xml:space="preserve">0  </v>
      </c>
      <c r="I3418" t="str">
        <f>"2020/09/22"</f>
        <v>2020/09/22</v>
      </c>
      <c r="J3418" t="str">
        <f>"420"</f>
        <v>420</v>
      </c>
      <c r="K3418" t="s">
        <v>18</v>
      </c>
      <c r="L3418" t="s">
        <v>18</v>
      </c>
      <c r="M3418" t="s">
        <v>18</v>
      </c>
    </row>
    <row r="3419" spans="1:13" x14ac:dyDescent="0.25">
      <c r="A3419" t="str">
        <f>"00775583"</f>
        <v>00775583</v>
      </c>
      <c r="B3419" t="s">
        <v>1946</v>
      </c>
      <c r="C3419" t="s">
        <v>762</v>
      </c>
      <c r="D3419" t="s">
        <v>51</v>
      </c>
      <c r="E3419" t="s">
        <v>16</v>
      </c>
      <c r="F3419" t="s">
        <v>17</v>
      </c>
      <c r="G3419" t="str">
        <f>"10"</f>
        <v>10</v>
      </c>
      <c r="H3419" t="str">
        <f>"3  "</f>
        <v xml:space="preserve">3  </v>
      </c>
      <c r="I3419" t="str">
        <f>"2020/05/19"</f>
        <v>2020/05/19</v>
      </c>
      <c r="J3419" t="str">
        <f>"110"</f>
        <v>110</v>
      </c>
      <c r="K3419" t="str">
        <f>"20250406"</f>
        <v>20250406</v>
      </c>
      <c r="L3419" t="s">
        <v>18</v>
      </c>
      <c r="M3419" t="str">
        <f>"20200507"</f>
        <v>20200507</v>
      </c>
    </row>
    <row r="3420" spans="1:13" x14ac:dyDescent="0.25">
      <c r="A3420" t="str">
        <f>"00803686"</f>
        <v>00803686</v>
      </c>
      <c r="B3420" t="s">
        <v>1948</v>
      </c>
      <c r="C3420" t="s">
        <v>398</v>
      </c>
      <c r="D3420" t="s">
        <v>21</v>
      </c>
      <c r="E3420" t="s">
        <v>26</v>
      </c>
      <c r="F3420" t="s">
        <v>17</v>
      </c>
      <c r="G3420" t="str">
        <f>"10"</f>
        <v>10</v>
      </c>
      <c r="H3420" t="str">
        <f>"3  "</f>
        <v xml:space="preserve">3  </v>
      </c>
      <c r="I3420" t="str">
        <f>"2016/06/07"</f>
        <v>2016/06/07</v>
      </c>
      <c r="J3420" t="str">
        <f>"110"</f>
        <v>110</v>
      </c>
      <c r="K3420" t="str">
        <f>"20220626"</f>
        <v>20220626</v>
      </c>
      <c r="L3420" t="s">
        <v>18</v>
      </c>
      <c r="M3420" t="str">
        <f>"20150928"</f>
        <v>20150928</v>
      </c>
    </row>
    <row r="3421" spans="1:13" x14ac:dyDescent="0.25">
      <c r="A3421" t="str">
        <f>"00469343"</f>
        <v>00469343</v>
      </c>
      <c r="B3421" t="s">
        <v>1948</v>
      </c>
      <c r="C3421" t="s">
        <v>1950</v>
      </c>
      <c r="D3421" t="s">
        <v>31</v>
      </c>
      <c r="E3421" t="s">
        <v>26</v>
      </c>
      <c r="F3421" t="s">
        <v>17</v>
      </c>
      <c r="G3421" t="str">
        <f>"10"</f>
        <v>10</v>
      </c>
      <c r="H3421" t="str">
        <f>"3  "</f>
        <v xml:space="preserve">3  </v>
      </c>
      <c r="I3421" t="str">
        <f>"2020/01/22"</f>
        <v>2020/01/22</v>
      </c>
      <c r="J3421" t="str">
        <f>"110"</f>
        <v>110</v>
      </c>
      <c r="K3421" t="str">
        <f>"20221005"</f>
        <v>20221005</v>
      </c>
      <c r="L3421" t="s">
        <v>18</v>
      </c>
      <c r="M3421" t="str">
        <f>"20200121"</f>
        <v>20200121</v>
      </c>
    </row>
    <row r="3422" spans="1:13" x14ac:dyDescent="0.25">
      <c r="A3422" t="str">
        <f>"00651178"</f>
        <v>00651178</v>
      </c>
      <c r="B3422" t="s">
        <v>1956</v>
      </c>
      <c r="C3422" t="s">
        <v>1957</v>
      </c>
      <c r="D3422" t="s">
        <v>15</v>
      </c>
      <c r="E3422" t="s">
        <v>26</v>
      </c>
      <c r="F3422" t="s">
        <v>17</v>
      </c>
      <c r="G3422" t="str">
        <f>"10"</f>
        <v>10</v>
      </c>
      <c r="H3422" t="str">
        <f>"3  "</f>
        <v xml:space="preserve">3  </v>
      </c>
      <c r="I3422" t="str">
        <f>"2019/06/24"</f>
        <v>2019/06/24</v>
      </c>
      <c r="J3422" t="str">
        <f>"110"</f>
        <v>110</v>
      </c>
      <c r="K3422" t="str">
        <f>"20230716"</f>
        <v>20230716</v>
      </c>
      <c r="L3422" t="s">
        <v>18</v>
      </c>
      <c r="M3422" t="str">
        <f>"20190306"</f>
        <v>20190306</v>
      </c>
    </row>
    <row r="3423" spans="1:13" x14ac:dyDescent="0.25">
      <c r="A3423" t="str">
        <f>"00229093"</f>
        <v>00229093</v>
      </c>
      <c r="B3423" t="s">
        <v>1964</v>
      </c>
      <c r="C3423" t="s">
        <v>49</v>
      </c>
      <c r="D3423" t="s">
        <v>45</v>
      </c>
      <c r="E3423" t="s">
        <v>26</v>
      </c>
      <c r="F3423" t="s">
        <v>17</v>
      </c>
      <c r="G3423" t="str">
        <f>"10"</f>
        <v>10</v>
      </c>
      <c r="H3423" t="str">
        <f>"0  "</f>
        <v xml:space="preserve">0  </v>
      </c>
      <c r="I3423" t="str">
        <f>"2020/07/17"</f>
        <v>2020/07/17</v>
      </c>
      <c r="J3423" t="str">
        <f>"420"</f>
        <v>420</v>
      </c>
      <c r="K3423" t="s">
        <v>18</v>
      </c>
      <c r="L3423" t="s">
        <v>18</v>
      </c>
      <c r="M3423" t="s">
        <v>18</v>
      </c>
    </row>
    <row r="3424" spans="1:13" x14ac:dyDescent="0.25">
      <c r="A3424" t="str">
        <f>"00526235"</f>
        <v>00526235</v>
      </c>
      <c r="B3424" t="s">
        <v>1966</v>
      </c>
      <c r="C3424" t="s">
        <v>233</v>
      </c>
      <c r="D3424" t="s">
        <v>31</v>
      </c>
      <c r="E3424" t="s">
        <v>26</v>
      </c>
      <c r="F3424" t="s">
        <v>17</v>
      </c>
      <c r="G3424" t="str">
        <f>"10"</f>
        <v>10</v>
      </c>
      <c r="H3424" t="str">
        <f>"3  "</f>
        <v xml:space="preserve">3  </v>
      </c>
      <c r="I3424" t="str">
        <f>"2019/07/30"</f>
        <v>2019/07/30</v>
      </c>
      <c r="J3424" t="str">
        <f>"110"</f>
        <v>110</v>
      </c>
      <c r="K3424" t="str">
        <f>"20230507"</f>
        <v>20230507</v>
      </c>
      <c r="L3424" t="s">
        <v>18</v>
      </c>
      <c r="M3424" t="str">
        <f>"20181128"</f>
        <v>20181128</v>
      </c>
    </row>
    <row r="3425" spans="1:13" x14ac:dyDescent="0.25">
      <c r="A3425" t="str">
        <f>"00548880"</f>
        <v>00548880</v>
      </c>
      <c r="B3425" t="s">
        <v>1967</v>
      </c>
      <c r="C3425" t="s">
        <v>1968</v>
      </c>
      <c r="D3425" t="s">
        <v>25</v>
      </c>
      <c r="E3425" t="s">
        <v>26</v>
      </c>
      <c r="F3425" t="s">
        <v>17</v>
      </c>
      <c r="G3425" t="str">
        <f>"10"</f>
        <v>10</v>
      </c>
      <c r="H3425" t="str">
        <f>"1  "</f>
        <v xml:space="preserve">1  </v>
      </c>
      <c r="I3425" t="str">
        <f>"2020/07/01"</f>
        <v>2020/07/01</v>
      </c>
      <c r="J3425" t="str">
        <f>"503"</f>
        <v>503</v>
      </c>
      <c r="K3425" t="str">
        <f>"20201003"</f>
        <v>20201003</v>
      </c>
      <c r="L3425" t="s">
        <v>18</v>
      </c>
      <c r="M3425" t="str">
        <f>"20200416"</f>
        <v>20200416</v>
      </c>
    </row>
    <row r="3426" spans="1:13" x14ac:dyDescent="0.25">
      <c r="A3426" t="str">
        <f>"00216182"</f>
        <v>00216182</v>
      </c>
      <c r="B3426" t="s">
        <v>1975</v>
      </c>
      <c r="C3426" t="s">
        <v>1978</v>
      </c>
      <c r="D3426" t="s">
        <v>15</v>
      </c>
      <c r="E3426" t="s">
        <v>26</v>
      </c>
      <c r="F3426" t="s">
        <v>17</v>
      </c>
      <c r="G3426" t="str">
        <f>"10"</f>
        <v>10</v>
      </c>
      <c r="H3426" t="str">
        <f>"0  "</f>
        <v xml:space="preserve">0  </v>
      </c>
      <c r="I3426" t="str">
        <f>"2019/08/06"</f>
        <v>2019/08/06</v>
      </c>
      <c r="J3426" t="str">
        <f>"420"</f>
        <v>420</v>
      </c>
      <c r="K3426" t="s">
        <v>18</v>
      </c>
      <c r="L3426" t="s">
        <v>18</v>
      </c>
      <c r="M3426" t="s">
        <v>18</v>
      </c>
    </row>
    <row r="3427" spans="1:13" x14ac:dyDescent="0.25">
      <c r="A3427" t="str">
        <f>"00207238"</f>
        <v>00207238</v>
      </c>
      <c r="B3427" t="s">
        <v>1979</v>
      </c>
      <c r="C3427" t="s">
        <v>358</v>
      </c>
      <c r="D3427" t="s">
        <v>40</v>
      </c>
      <c r="E3427" t="s">
        <v>16</v>
      </c>
      <c r="F3427" t="s">
        <v>17</v>
      </c>
      <c r="G3427" t="str">
        <f>"10"</f>
        <v>10</v>
      </c>
      <c r="H3427" t="str">
        <f>"3  "</f>
        <v xml:space="preserve">3  </v>
      </c>
      <c r="I3427" t="str">
        <f>"2020/01/14"</f>
        <v>2020/01/14</v>
      </c>
      <c r="J3427" t="str">
        <f>"110"</f>
        <v>110</v>
      </c>
      <c r="K3427" t="str">
        <f>"20210530"</f>
        <v>20210530</v>
      </c>
      <c r="L3427" t="s">
        <v>18</v>
      </c>
      <c r="M3427" t="str">
        <f>"20200112"</f>
        <v>20200112</v>
      </c>
    </row>
    <row r="3428" spans="1:13" x14ac:dyDescent="0.25">
      <c r="A3428" t="str">
        <f>"00898910"</f>
        <v>00898910</v>
      </c>
      <c r="B3428" t="s">
        <v>1981</v>
      </c>
      <c r="C3428" t="s">
        <v>1982</v>
      </c>
      <c r="D3428" t="s">
        <v>25</v>
      </c>
      <c r="E3428" t="s">
        <v>26</v>
      </c>
      <c r="F3428" t="s">
        <v>17</v>
      </c>
      <c r="G3428" t="str">
        <f>"10"</f>
        <v>10</v>
      </c>
      <c r="H3428" t="str">
        <f>"3  "</f>
        <v xml:space="preserve">3  </v>
      </c>
      <c r="I3428" t="str">
        <f>"2019/12/10"</f>
        <v>2019/12/10</v>
      </c>
      <c r="J3428" t="str">
        <f>"110"</f>
        <v>110</v>
      </c>
      <c r="K3428" t="str">
        <f>"20211010"</f>
        <v>20211010</v>
      </c>
      <c r="L3428" t="s">
        <v>18</v>
      </c>
      <c r="M3428" t="str">
        <f>"20191210"</f>
        <v>20191210</v>
      </c>
    </row>
    <row r="3429" spans="1:13" x14ac:dyDescent="0.25">
      <c r="A3429" t="str">
        <f>"00231140"</f>
        <v>00231140</v>
      </c>
      <c r="B3429" t="s">
        <v>1981</v>
      </c>
      <c r="C3429" t="s">
        <v>1983</v>
      </c>
      <c r="D3429" t="s">
        <v>16</v>
      </c>
      <c r="E3429" t="s">
        <v>16</v>
      </c>
      <c r="F3429" t="s">
        <v>17</v>
      </c>
      <c r="G3429" t="str">
        <f>"10"</f>
        <v>10</v>
      </c>
      <c r="H3429" t="str">
        <f>"3  "</f>
        <v xml:space="preserve">3  </v>
      </c>
      <c r="I3429" t="str">
        <f>"2019/12/10"</f>
        <v>2019/12/10</v>
      </c>
      <c r="J3429" t="str">
        <f>"110"</f>
        <v>110</v>
      </c>
      <c r="K3429" t="str">
        <f>"20210725"</f>
        <v>20210725</v>
      </c>
      <c r="L3429" t="s">
        <v>18</v>
      </c>
      <c r="M3429" t="str">
        <f>"20190925"</f>
        <v>20190925</v>
      </c>
    </row>
    <row r="3430" spans="1:13" x14ac:dyDescent="0.25">
      <c r="A3430" t="str">
        <f>"00676605"</f>
        <v>00676605</v>
      </c>
      <c r="B3430" t="s">
        <v>1984</v>
      </c>
      <c r="C3430" t="s">
        <v>1842</v>
      </c>
      <c r="D3430" t="s">
        <v>25</v>
      </c>
      <c r="E3430" t="s">
        <v>26</v>
      </c>
      <c r="F3430" t="s">
        <v>17</v>
      </c>
      <c r="G3430" t="str">
        <f>"10"</f>
        <v>10</v>
      </c>
      <c r="H3430" t="str">
        <f>"3  "</f>
        <v xml:space="preserve">3  </v>
      </c>
      <c r="I3430" t="str">
        <f>"2019/04/22"</f>
        <v>2019/04/22</v>
      </c>
      <c r="J3430" t="str">
        <f>"503"</f>
        <v>503</v>
      </c>
      <c r="K3430" t="str">
        <f>"20220617"</f>
        <v>20220617</v>
      </c>
      <c r="L3430" t="s">
        <v>18</v>
      </c>
      <c r="M3430" t="str">
        <f>"20170921"</f>
        <v>20170921</v>
      </c>
    </row>
    <row r="3431" spans="1:13" x14ac:dyDescent="0.25">
      <c r="A3431" t="str">
        <f>"00781881"</f>
        <v>00781881</v>
      </c>
      <c r="B3431" t="s">
        <v>1984</v>
      </c>
      <c r="C3431" t="s">
        <v>1985</v>
      </c>
      <c r="D3431" t="s">
        <v>53</v>
      </c>
      <c r="E3431" t="s">
        <v>26</v>
      </c>
      <c r="F3431" t="s">
        <v>17</v>
      </c>
      <c r="G3431" t="str">
        <f>"10"</f>
        <v>10</v>
      </c>
      <c r="H3431" t="str">
        <f>"0  "</f>
        <v xml:space="preserve">0  </v>
      </c>
      <c r="I3431" t="str">
        <f>"2020/05/28"</f>
        <v>2020/05/28</v>
      </c>
      <c r="J3431" t="str">
        <f>"420"</f>
        <v>420</v>
      </c>
      <c r="K3431" t="s">
        <v>18</v>
      </c>
      <c r="L3431" t="s">
        <v>18</v>
      </c>
      <c r="M3431" t="s">
        <v>18</v>
      </c>
    </row>
    <row r="3432" spans="1:13" x14ac:dyDescent="0.25">
      <c r="A3432" t="str">
        <f>"00787244"</f>
        <v>00787244</v>
      </c>
      <c r="B3432" t="s">
        <v>1986</v>
      </c>
      <c r="C3432" t="s">
        <v>1988</v>
      </c>
      <c r="D3432" t="s">
        <v>61</v>
      </c>
      <c r="E3432" t="s">
        <v>26</v>
      </c>
      <c r="F3432" t="s">
        <v>17</v>
      </c>
      <c r="G3432" t="str">
        <f>"10"</f>
        <v>10</v>
      </c>
      <c r="H3432" t="str">
        <f>"0  "</f>
        <v xml:space="preserve">0  </v>
      </c>
      <c r="I3432" t="str">
        <f>"2019/03/18"</f>
        <v>2019/03/18</v>
      </c>
      <c r="J3432" t="str">
        <f>"420"</f>
        <v>420</v>
      </c>
      <c r="K3432" t="s">
        <v>18</v>
      </c>
      <c r="L3432" t="s">
        <v>18</v>
      </c>
      <c r="M3432" t="s">
        <v>18</v>
      </c>
    </row>
    <row r="3433" spans="1:13" x14ac:dyDescent="0.25">
      <c r="A3433" t="str">
        <f>"00874304"</f>
        <v>00874304</v>
      </c>
      <c r="B3433" t="s">
        <v>1986</v>
      </c>
      <c r="C3433" t="s">
        <v>1989</v>
      </c>
      <c r="D3433" t="s">
        <v>25</v>
      </c>
      <c r="E3433" t="s">
        <v>26</v>
      </c>
      <c r="F3433" t="s">
        <v>17</v>
      </c>
      <c r="G3433" t="str">
        <f>"10"</f>
        <v>10</v>
      </c>
      <c r="H3433" t="str">
        <f>"3  "</f>
        <v xml:space="preserve">3  </v>
      </c>
      <c r="I3433" t="str">
        <f>"2019/01/14"</f>
        <v>2019/01/14</v>
      </c>
      <c r="J3433" t="str">
        <f>"110"</f>
        <v>110</v>
      </c>
      <c r="K3433" t="str">
        <f>"20210717"</f>
        <v>20210717</v>
      </c>
      <c r="L3433" t="s">
        <v>18</v>
      </c>
      <c r="M3433" t="str">
        <f>"20190110"</f>
        <v>20190110</v>
      </c>
    </row>
    <row r="3434" spans="1:13" x14ac:dyDescent="0.25">
      <c r="A3434" t="str">
        <f>"00576811"</f>
        <v>00576811</v>
      </c>
      <c r="B3434" t="s">
        <v>1986</v>
      </c>
      <c r="C3434" t="s">
        <v>233</v>
      </c>
      <c r="D3434" t="s">
        <v>91</v>
      </c>
      <c r="E3434" t="s">
        <v>26</v>
      </c>
      <c r="F3434" t="s">
        <v>17</v>
      </c>
      <c r="G3434" t="str">
        <f>"10"</f>
        <v>10</v>
      </c>
      <c r="H3434" t="str">
        <f>"3  "</f>
        <v xml:space="preserve">3  </v>
      </c>
      <c r="I3434" t="str">
        <f>"2020/04/30"</f>
        <v>2020/04/30</v>
      </c>
      <c r="J3434" t="str">
        <f>"110"</f>
        <v>110</v>
      </c>
      <c r="K3434" t="str">
        <f>"20241023"</f>
        <v>20241023</v>
      </c>
      <c r="L3434" t="s">
        <v>18</v>
      </c>
      <c r="M3434" t="str">
        <f>"20200420"</f>
        <v>20200420</v>
      </c>
    </row>
    <row r="3435" spans="1:13" x14ac:dyDescent="0.25">
      <c r="A3435" t="str">
        <f>"00210778"</f>
        <v>00210778</v>
      </c>
      <c r="B3435" t="s">
        <v>1986</v>
      </c>
      <c r="C3435" t="s">
        <v>124</v>
      </c>
      <c r="D3435" t="s">
        <v>61</v>
      </c>
      <c r="E3435" t="s">
        <v>26</v>
      </c>
      <c r="F3435" t="s">
        <v>17</v>
      </c>
      <c r="G3435" t="str">
        <f>"10"</f>
        <v>10</v>
      </c>
      <c r="H3435" t="str">
        <f>"0  "</f>
        <v xml:space="preserve">0  </v>
      </c>
      <c r="I3435" t="str">
        <f>"2020/02/25"</f>
        <v>2020/02/25</v>
      </c>
      <c r="J3435" t="str">
        <f>"420"</f>
        <v>420</v>
      </c>
      <c r="K3435" t="s">
        <v>18</v>
      </c>
      <c r="L3435" t="s">
        <v>18</v>
      </c>
      <c r="M3435" t="s">
        <v>18</v>
      </c>
    </row>
    <row r="3436" spans="1:13" x14ac:dyDescent="0.25">
      <c r="A3436" t="str">
        <f>"00183523"</f>
        <v>00183523</v>
      </c>
      <c r="B3436" t="s">
        <v>1990</v>
      </c>
      <c r="C3436" t="s">
        <v>74</v>
      </c>
      <c r="D3436" t="s">
        <v>97</v>
      </c>
      <c r="E3436" t="s">
        <v>16</v>
      </c>
      <c r="F3436" t="s">
        <v>17</v>
      </c>
      <c r="G3436" t="str">
        <f>"10"</f>
        <v>10</v>
      </c>
      <c r="H3436" t="str">
        <f>"0  "</f>
        <v xml:space="preserve">0  </v>
      </c>
      <c r="I3436" t="str">
        <f>"2020/08/28"</f>
        <v>2020/08/28</v>
      </c>
      <c r="J3436" t="str">
        <f>"420"</f>
        <v>420</v>
      </c>
      <c r="K3436" t="s">
        <v>18</v>
      </c>
      <c r="L3436" t="s">
        <v>18</v>
      </c>
      <c r="M3436" t="s">
        <v>18</v>
      </c>
    </row>
    <row r="3437" spans="1:13" x14ac:dyDescent="0.25">
      <c r="A3437" t="str">
        <f>"00196722"</f>
        <v>00196722</v>
      </c>
      <c r="B3437" t="s">
        <v>1995</v>
      </c>
      <c r="C3437" t="s">
        <v>136</v>
      </c>
      <c r="D3437" t="s">
        <v>61</v>
      </c>
      <c r="E3437" t="s">
        <v>16</v>
      </c>
      <c r="F3437" t="s">
        <v>17</v>
      </c>
      <c r="G3437" t="str">
        <f>"10"</f>
        <v>10</v>
      </c>
      <c r="H3437" t="str">
        <f>"0  "</f>
        <v xml:space="preserve">0  </v>
      </c>
      <c r="I3437" t="str">
        <f>"2020/03/29"</f>
        <v>2020/03/29</v>
      </c>
      <c r="J3437" t="str">
        <f>"420"</f>
        <v>420</v>
      </c>
      <c r="K3437" t="s">
        <v>18</v>
      </c>
      <c r="L3437" t="s">
        <v>18</v>
      </c>
      <c r="M3437" t="s">
        <v>18</v>
      </c>
    </row>
    <row r="3438" spans="1:13" x14ac:dyDescent="0.25">
      <c r="A3438" t="str">
        <f>"00258274"</f>
        <v>00258274</v>
      </c>
      <c r="B3438" t="s">
        <v>2002</v>
      </c>
      <c r="C3438" t="s">
        <v>2003</v>
      </c>
      <c r="D3438" t="s">
        <v>25</v>
      </c>
      <c r="E3438" t="s">
        <v>26</v>
      </c>
      <c r="F3438" t="s">
        <v>17</v>
      </c>
      <c r="G3438" t="str">
        <f>"10"</f>
        <v>10</v>
      </c>
      <c r="H3438" t="str">
        <f>"0  "</f>
        <v xml:space="preserve">0  </v>
      </c>
      <c r="I3438" t="str">
        <f>"2019/07/25"</f>
        <v>2019/07/25</v>
      </c>
      <c r="J3438" t="str">
        <f>"440"</f>
        <v>440</v>
      </c>
      <c r="K3438" t="s">
        <v>18</v>
      </c>
      <c r="L3438" t="s">
        <v>18</v>
      </c>
      <c r="M3438" t="s">
        <v>18</v>
      </c>
    </row>
    <row r="3439" spans="1:13" x14ac:dyDescent="0.25">
      <c r="A3439" t="str">
        <f>"00331460"</f>
        <v>00331460</v>
      </c>
      <c r="B3439" t="s">
        <v>2002</v>
      </c>
      <c r="C3439" t="s">
        <v>2004</v>
      </c>
      <c r="D3439" t="s">
        <v>25</v>
      </c>
      <c r="E3439" t="s">
        <v>26</v>
      </c>
      <c r="F3439" t="s">
        <v>17</v>
      </c>
      <c r="G3439" t="str">
        <f>"10"</f>
        <v>10</v>
      </c>
      <c r="H3439" t="str">
        <f>"3  "</f>
        <v xml:space="preserve">3  </v>
      </c>
      <c r="I3439" t="str">
        <f>"2019/11/26"</f>
        <v>2019/11/26</v>
      </c>
      <c r="J3439" t="str">
        <f>"110"</f>
        <v>110</v>
      </c>
      <c r="K3439" t="str">
        <f>"20210523"</f>
        <v>20210523</v>
      </c>
      <c r="L3439" t="s">
        <v>18</v>
      </c>
      <c r="M3439" t="str">
        <f>"20190806"</f>
        <v>20190806</v>
      </c>
    </row>
    <row r="3440" spans="1:13" x14ac:dyDescent="0.25">
      <c r="A3440" t="str">
        <f>"00840307"</f>
        <v>00840307</v>
      </c>
      <c r="B3440" t="s">
        <v>2012</v>
      </c>
      <c r="C3440" t="s">
        <v>327</v>
      </c>
      <c r="D3440" t="s">
        <v>25</v>
      </c>
      <c r="E3440" t="s">
        <v>26</v>
      </c>
      <c r="F3440" t="s">
        <v>17</v>
      </c>
      <c r="G3440" t="str">
        <f>"10"</f>
        <v>10</v>
      </c>
      <c r="H3440" t="str">
        <f>"3  "</f>
        <v xml:space="preserve">3  </v>
      </c>
      <c r="I3440" t="str">
        <f>"2017/06/30"</f>
        <v>2017/06/30</v>
      </c>
      <c r="J3440" t="str">
        <f>"110"</f>
        <v>110</v>
      </c>
      <c r="K3440" t="str">
        <f>"20210112"</f>
        <v>20210112</v>
      </c>
      <c r="L3440" t="s">
        <v>18</v>
      </c>
      <c r="M3440" t="str">
        <f>"20160912"</f>
        <v>20160912</v>
      </c>
    </row>
    <row r="3441" spans="1:13" x14ac:dyDescent="0.25">
      <c r="A3441" t="str">
        <f>"00280330"</f>
        <v>00280330</v>
      </c>
      <c r="B3441" t="s">
        <v>2016</v>
      </c>
      <c r="C3441" t="s">
        <v>176</v>
      </c>
      <c r="D3441" t="s">
        <v>40</v>
      </c>
      <c r="E3441" t="s">
        <v>16</v>
      </c>
      <c r="F3441" t="s">
        <v>17</v>
      </c>
      <c r="G3441" t="str">
        <f>"10"</f>
        <v>10</v>
      </c>
      <c r="H3441" t="str">
        <f>"1  "</f>
        <v xml:space="preserve">1  </v>
      </c>
      <c r="I3441" t="str">
        <f>"2020/09/22"</f>
        <v>2020/09/22</v>
      </c>
      <c r="J3441" t="str">
        <f>"110"</f>
        <v>110</v>
      </c>
      <c r="K3441" t="str">
        <f>"20210303"</f>
        <v>20210303</v>
      </c>
      <c r="L3441" t="s">
        <v>18</v>
      </c>
      <c r="M3441" t="str">
        <f>"20200922"</f>
        <v>20200922</v>
      </c>
    </row>
    <row r="3442" spans="1:13" x14ac:dyDescent="0.25">
      <c r="A3442" t="str">
        <f>"00784277"</f>
        <v>00784277</v>
      </c>
      <c r="B3442" t="s">
        <v>2016</v>
      </c>
      <c r="C3442" t="s">
        <v>1175</v>
      </c>
      <c r="D3442" t="s">
        <v>61</v>
      </c>
      <c r="E3442" t="s">
        <v>16</v>
      </c>
      <c r="F3442" t="s">
        <v>17</v>
      </c>
      <c r="G3442" t="str">
        <f>"10"</f>
        <v>10</v>
      </c>
      <c r="H3442" t="str">
        <f>"3  "</f>
        <v xml:space="preserve">3  </v>
      </c>
      <c r="I3442" t="str">
        <f>"2019/07/01"</f>
        <v>2019/07/01</v>
      </c>
      <c r="J3442" t="str">
        <f>"120"</f>
        <v>120</v>
      </c>
      <c r="K3442" t="str">
        <f>"20221109"</f>
        <v>20221109</v>
      </c>
      <c r="L3442" t="s">
        <v>18</v>
      </c>
      <c r="M3442" t="str">
        <f>"20181230"</f>
        <v>20181230</v>
      </c>
    </row>
    <row r="3443" spans="1:13" x14ac:dyDescent="0.25">
      <c r="A3443" t="str">
        <f>"00549310"</f>
        <v>00549310</v>
      </c>
      <c r="B3443" t="s">
        <v>2016</v>
      </c>
      <c r="C3443" t="s">
        <v>125</v>
      </c>
      <c r="D3443" t="s">
        <v>40</v>
      </c>
      <c r="E3443" t="s">
        <v>16</v>
      </c>
      <c r="F3443" t="s">
        <v>17</v>
      </c>
      <c r="G3443" t="str">
        <f>"10"</f>
        <v>10</v>
      </c>
      <c r="H3443" t="str">
        <f>"1  "</f>
        <v xml:space="preserve">1  </v>
      </c>
      <c r="I3443" t="str">
        <f>"2020/09/18"</f>
        <v>2020/09/18</v>
      </c>
      <c r="J3443" t="str">
        <f>"110"</f>
        <v>110</v>
      </c>
      <c r="K3443" t="str">
        <f>"20201208"</f>
        <v>20201208</v>
      </c>
      <c r="L3443" t="s">
        <v>18</v>
      </c>
      <c r="M3443" t="str">
        <f>"20200916"</f>
        <v>20200916</v>
      </c>
    </row>
    <row r="3444" spans="1:13" x14ac:dyDescent="0.25">
      <c r="A3444" t="str">
        <f>"00863386"</f>
        <v>00863386</v>
      </c>
      <c r="B3444" t="s">
        <v>2018</v>
      </c>
      <c r="C3444" t="s">
        <v>136</v>
      </c>
      <c r="D3444" t="s">
        <v>16</v>
      </c>
      <c r="E3444" t="s">
        <v>16</v>
      </c>
      <c r="F3444" t="s">
        <v>17</v>
      </c>
      <c r="G3444" t="str">
        <f>"10"</f>
        <v>10</v>
      </c>
      <c r="H3444" t="str">
        <f>"1  "</f>
        <v xml:space="preserve">1  </v>
      </c>
      <c r="I3444" t="str">
        <f>"2020/05/15"</f>
        <v>2020/05/15</v>
      </c>
      <c r="J3444" t="str">
        <f>"110"</f>
        <v>110</v>
      </c>
      <c r="K3444" t="str">
        <f>"20201101"</f>
        <v>20201101</v>
      </c>
      <c r="L3444" t="s">
        <v>18</v>
      </c>
      <c r="M3444" t="str">
        <f>"20200514"</f>
        <v>20200514</v>
      </c>
    </row>
    <row r="3445" spans="1:13" x14ac:dyDescent="0.25">
      <c r="A3445" t="str">
        <f>"00623277"</f>
        <v>00623277</v>
      </c>
      <c r="B3445" t="s">
        <v>2024</v>
      </c>
      <c r="C3445" t="s">
        <v>154</v>
      </c>
      <c r="D3445" t="s">
        <v>61</v>
      </c>
      <c r="E3445" t="s">
        <v>26</v>
      </c>
      <c r="F3445" t="s">
        <v>17</v>
      </c>
      <c r="G3445" t="str">
        <f>"10"</f>
        <v>10</v>
      </c>
      <c r="H3445" t="str">
        <f>"3  "</f>
        <v xml:space="preserve">3  </v>
      </c>
      <c r="I3445" t="str">
        <f>"2019/06/21"</f>
        <v>2019/06/21</v>
      </c>
      <c r="J3445" t="str">
        <f>"110"</f>
        <v>110</v>
      </c>
      <c r="K3445" t="str">
        <f>"20211213"</f>
        <v>20211213</v>
      </c>
      <c r="L3445" t="s">
        <v>18</v>
      </c>
      <c r="M3445" t="str">
        <f>"20190525"</f>
        <v>20190525</v>
      </c>
    </row>
    <row r="3446" spans="1:13" x14ac:dyDescent="0.25">
      <c r="A3446" t="str">
        <f>"00768853"</f>
        <v>00768853</v>
      </c>
      <c r="B3446" t="s">
        <v>2024</v>
      </c>
      <c r="C3446" t="s">
        <v>140</v>
      </c>
      <c r="D3446" t="s">
        <v>80</v>
      </c>
      <c r="E3446" t="s">
        <v>26</v>
      </c>
      <c r="F3446" t="s">
        <v>17</v>
      </c>
      <c r="G3446" t="str">
        <f>"10"</f>
        <v>10</v>
      </c>
      <c r="H3446" t="str">
        <f>"0  "</f>
        <v xml:space="preserve">0  </v>
      </c>
      <c r="I3446" t="str">
        <f>"2020/09/22"</f>
        <v>2020/09/22</v>
      </c>
      <c r="J3446" t="str">
        <f>"420"</f>
        <v>420</v>
      </c>
      <c r="K3446" t="s">
        <v>18</v>
      </c>
      <c r="L3446" t="s">
        <v>18</v>
      </c>
      <c r="M3446" t="s">
        <v>18</v>
      </c>
    </row>
    <row r="3447" spans="1:13" x14ac:dyDescent="0.25">
      <c r="A3447" t="str">
        <f>"00757536"</f>
        <v>00757536</v>
      </c>
      <c r="B3447" t="s">
        <v>2024</v>
      </c>
      <c r="C3447" t="s">
        <v>2026</v>
      </c>
      <c r="D3447" t="s">
        <v>97</v>
      </c>
      <c r="E3447" t="s">
        <v>26</v>
      </c>
      <c r="F3447" t="s">
        <v>17</v>
      </c>
      <c r="G3447" t="str">
        <f>"10"</f>
        <v>10</v>
      </c>
      <c r="H3447" t="str">
        <f>"0  "</f>
        <v xml:space="preserve">0  </v>
      </c>
      <c r="I3447" t="str">
        <f>"2020/04/14"</f>
        <v>2020/04/14</v>
      </c>
      <c r="J3447" t="str">
        <f>"420"</f>
        <v>420</v>
      </c>
      <c r="K3447" t="s">
        <v>18</v>
      </c>
      <c r="L3447" t="s">
        <v>18</v>
      </c>
      <c r="M3447" t="s">
        <v>18</v>
      </c>
    </row>
    <row r="3448" spans="1:13" x14ac:dyDescent="0.25">
      <c r="A3448" t="str">
        <f>"00917594"</f>
        <v>00917594</v>
      </c>
      <c r="B3448" t="s">
        <v>2024</v>
      </c>
      <c r="C3448" t="s">
        <v>2028</v>
      </c>
      <c r="D3448" t="s">
        <v>40</v>
      </c>
      <c r="E3448" t="s">
        <v>26</v>
      </c>
      <c r="F3448" t="s">
        <v>17</v>
      </c>
      <c r="G3448" t="str">
        <f>"10"</f>
        <v>10</v>
      </c>
      <c r="H3448" t="str">
        <f>"3  "</f>
        <v xml:space="preserve">3  </v>
      </c>
      <c r="I3448" t="str">
        <f>"2020/08/07"</f>
        <v>2020/08/07</v>
      </c>
      <c r="J3448" t="str">
        <f>"110"</f>
        <v>110</v>
      </c>
      <c r="K3448" t="str">
        <f>"20210803"</f>
        <v>20210803</v>
      </c>
      <c r="L3448" t="s">
        <v>18</v>
      </c>
      <c r="M3448" t="str">
        <f>"20191003"</f>
        <v>20191003</v>
      </c>
    </row>
    <row r="3449" spans="1:13" x14ac:dyDescent="0.25">
      <c r="A3449" t="str">
        <f>"00790457"</f>
        <v>00790457</v>
      </c>
      <c r="B3449" t="s">
        <v>2032</v>
      </c>
      <c r="C3449" t="s">
        <v>213</v>
      </c>
      <c r="D3449" t="s">
        <v>31</v>
      </c>
      <c r="E3449" t="s">
        <v>16</v>
      </c>
      <c r="F3449" t="s">
        <v>17</v>
      </c>
      <c r="G3449" t="str">
        <f>"10"</f>
        <v>10</v>
      </c>
      <c r="H3449" t="str">
        <f>"3  "</f>
        <v xml:space="preserve">3  </v>
      </c>
      <c r="I3449" t="str">
        <f>"2016/05/24"</f>
        <v>2016/05/24</v>
      </c>
      <c r="J3449" t="str">
        <f>"110"</f>
        <v>110</v>
      </c>
      <c r="K3449" t="str">
        <f>"20221226"</f>
        <v>20221226</v>
      </c>
      <c r="L3449" t="s">
        <v>18</v>
      </c>
      <c r="M3449" t="str">
        <f>"20160524"</f>
        <v>20160524</v>
      </c>
    </row>
    <row r="3450" spans="1:13" x14ac:dyDescent="0.25">
      <c r="A3450" t="str">
        <f>"00670478"</f>
        <v>00670478</v>
      </c>
      <c r="B3450" t="s">
        <v>2045</v>
      </c>
      <c r="C3450" t="s">
        <v>122</v>
      </c>
      <c r="D3450" t="s">
        <v>73</v>
      </c>
      <c r="E3450" t="s">
        <v>16</v>
      </c>
      <c r="F3450" t="s">
        <v>17</v>
      </c>
      <c r="G3450" t="str">
        <f>"10"</f>
        <v>10</v>
      </c>
      <c r="H3450" t="str">
        <f>"3  "</f>
        <v xml:space="preserve">3  </v>
      </c>
      <c r="I3450" t="str">
        <f>"2019/12/19"</f>
        <v>2019/12/19</v>
      </c>
      <c r="J3450" t="str">
        <f>"110"</f>
        <v>110</v>
      </c>
      <c r="K3450" t="str">
        <f>"20211007"</f>
        <v>20211007</v>
      </c>
      <c r="L3450" t="s">
        <v>18</v>
      </c>
      <c r="M3450" t="str">
        <f>"20191219"</f>
        <v>20191219</v>
      </c>
    </row>
    <row r="3451" spans="1:13" x14ac:dyDescent="0.25">
      <c r="A3451" t="str">
        <f>"00794279"</f>
        <v>00794279</v>
      </c>
      <c r="B3451" t="s">
        <v>2046</v>
      </c>
      <c r="C3451" t="s">
        <v>74</v>
      </c>
      <c r="D3451" t="s">
        <v>15</v>
      </c>
      <c r="E3451" t="s">
        <v>16</v>
      </c>
      <c r="F3451" t="s">
        <v>17</v>
      </c>
      <c r="G3451" t="str">
        <f>"10"</f>
        <v>10</v>
      </c>
      <c r="H3451" t="str">
        <f>"3  "</f>
        <v xml:space="preserve">3  </v>
      </c>
      <c r="I3451" t="str">
        <f>"2017/12/11"</f>
        <v>2017/12/11</v>
      </c>
      <c r="J3451" t="str">
        <f>"110"</f>
        <v>110</v>
      </c>
      <c r="K3451" t="str">
        <f>"20210626"</f>
        <v>20210626</v>
      </c>
      <c r="L3451" t="s">
        <v>18</v>
      </c>
      <c r="M3451" t="str">
        <f>"20170216"</f>
        <v>20170216</v>
      </c>
    </row>
    <row r="3452" spans="1:13" x14ac:dyDescent="0.25">
      <c r="A3452" t="str">
        <f>"00902009"</f>
        <v>00902009</v>
      </c>
      <c r="B3452" t="s">
        <v>2058</v>
      </c>
      <c r="C3452" t="s">
        <v>22</v>
      </c>
      <c r="D3452" t="s">
        <v>25</v>
      </c>
      <c r="E3452" t="s">
        <v>26</v>
      </c>
      <c r="F3452" t="s">
        <v>17</v>
      </c>
      <c r="G3452" t="str">
        <f>"10"</f>
        <v>10</v>
      </c>
      <c r="H3452" t="str">
        <f>"3  "</f>
        <v xml:space="preserve">3  </v>
      </c>
      <c r="I3452" t="str">
        <f>"2019/11/05"</f>
        <v>2019/11/05</v>
      </c>
      <c r="J3452" t="str">
        <f>"110"</f>
        <v>110</v>
      </c>
      <c r="K3452" t="str">
        <f>"20240303"</f>
        <v>20240303</v>
      </c>
      <c r="L3452" t="s">
        <v>18</v>
      </c>
      <c r="M3452" t="str">
        <f>"20190906"</f>
        <v>20190906</v>
      </c>
    </row>
    <row r="3453" spans="1:13" x14ac:dyDescent="0.25">
      <c r="A3453" t="str">
        <f>"00184849"</f>
        <v>00184849</v>
      </c>
      <c r="B3453" t="s">
        <v>2061</v>
      </c>
      <c r="C3453" t="s">
        <v>14</v>
      </c>
      <c r="D3453" t="s">
        <v>25</v>
      </c>
      <c r="E3453" t="s">
        <v>26</v>
      </c>
      <c r="F3453" t="s">
        <v>17</v>
      </c>
      <c r="G3453" t="str">
        <f>"10"</f>
        <v>10</v>
      </c>
      <c r="H3453" t="str">
        <f>"3  "</f>
        <v xml:space="preserve">3  </v>
      </c>
      <c r="I3453" t="str">
        <f>"2015/06/18"</f>
        <v>2015/06/18</v>
      </c>
      <c r="J3453" t="str">
        <f>"110"</f>
        <v>110</v>
      </c>
      <c r="K3453" t="str">
        <f>"20231030"</f>
        <v>20231030</v>
      </c>
      <c r="L3453" t="s">
        <v>18</v>
      </c>
      <c r="M3453" t="str">
        <f>"20150618"</f>
        <v>20150618</v>
      </c>
    </row>
    <row r="3454" spans="1:13" x14ac:dyDescent="0.25">
      <c r="A3454" t="str">
        <f>"00609206"</f>
        <v>00609206</v>
      </c>
      <c r="B3454" t="s">
        <v>2061</v>
      </c>
      <c r="C3454" t="s">
        <v>278</v>
      </c>
      <c r="D3454" t="s">
        <v>25</v>
      </c>
      <c r="E3454" t="s">
        <v>26</v>
      </c>
      <c r="F3454" t="s">
        <v>17</v>
      </c>
      <c r="G3454" t="str">
        <f>"10"</f>
        <v>10</v>
      </c>
      <c r="H3454" t="str">
        <f>"0  "</f>
        <v xml:space="preserve">0  </v>
      </c>
      <c r="I3454" t="str">
        <f>"2019/12/10"</f>
        <v>2019/12/10</v>
      </c>
      <c r="J3454" t="str">
        <f>"420"</f>
        <v>420</v>
      </c>
      <c r="K3454" t="s">
        <v>18</v>
      </c>
      <c r="L3454" t="s">
        <v>18</v>
      </c>
      <c r="M3454" t="s">
        <v>18</v>
      </c>
    </row>
    <row r="3455" spans="1:13" x14ac:dyDescent="0.25">
      <c r="A3455" t="str">
        <f>"00274916"</f>
        <v>00274916</v>
      </c>
      <c r="B3455" t="s">
        <v>2061</v>
      </c>
      <c r="C3455" t="s">
        <v>595</v>
      </c>
      <c r="D3455" t="s">
        <v>25</v>
      </c>
      <c r="E3455" t="s">
        <v>26</v>
      </c>
      <c r="F3455" t="s">
        <v>17</v>
      </c>
      <c r="G3455" t="str">
        <f>"10"</f>
        <v>10</v>
      </c>
      <c r="H3455" t="str">
        <f>"0  "</f>
        <v xml:space="preserve">0  </v>
      </c>
      <c r="I3455" t="str">
        <f>"2020/08/05"</f>
        <v>2020/08/05</v>
      </c>
      <c r="J3455" t="str">
        <f>"420"</f>
        <v>420</v>
      </c>
      <c r="K3455" t="s">
        <v>18</v>
      </c>
      <c r="L3455" t="s">
        <v>18</v>
      </c>
      <c r="M3455" t="s">
        <v>18</v>
      </c>
    </row>
    <row r="3456" spans="1:13" x14ac:dyDescent="0.25">
      <c r="A3456" t="str">
        <f>"00624689"</f>
        <v>00624689</v>
      </c>
      <c r="B3456" t="s">
        <v>2061</v>
      </c>
      <c r="C3456" t="s">
        <v>48</v>
      </c>
      <c r="D3456" t="s">
        <v>21</v>
      </c>
      <c r="E3456" t="s">
        <v>26</v>
      </c>
      <c r="F3456" t="s">
        <v>17</v>
      </c>
      <c r="G3456" t="str">
        <f>"10"</f>
        <v>10</v>
      </c>
      <c r="H3456" t="str">
        <f>"0  "</f>
        <v xml:space="preserve">0  </v>
      </c>
      <c r="I3456" t="str">
        <f>"2020/08/14"</f>
        <v>2020/08/14</v>
      </c>
      <c r="J3456" t="str">
        <f>"420"</f>
        <v>420</v>
      </c>
      <c r="K3456" t="s">
        <v>18</v>
      </c>
      <c r="L3456" t="s">
        <v>18</v>
      </c>
      <c r="M3456" t="s">
        <v>18</v>
      </c>
    </row>
    <row r="3457" spans="1:13" x14ac:dyDescent="0.25">
      <c r="A3457" t="str">
        <f>"00863897"</f>
        <v>00863897</v>
      </c>
      <c r="B3457" t="s">
        <v>2061</v>
      </c>
      <c r="C3457" t="s">
        <v>1207</v>
      </c>
      <c r="D3457" t="s">
        <v>61</v>
      </c>
      <c r="E3457" t="s">
        <v>26</v>
      </c>
      <c r="F3457" t="s">
        <v>17</v>
      </c>
      <c r="G3457" t="str">
        <f>"10"</f>
        <v>10</v>
      </c>
      <c r="H3457" t="str">
        <f>"0  "</f>
        <v xml:space="preserve">0  </v>
      </c>
      <c r="I3457" t="str">
        <f>"2019/06/04"</f>
        <v>2019/06/04</v>
      </c>
      <c r="J3457" t="str">
        <f>"420"</f>
        <v>420</v>
      </c>
      <c r="K3457" t="s">
        <v>18</v>
      </c>
      <c r="L3457" t="s">
        <v>18</v>
      </c>
      <c r="M3457" t="s">
        <v>18</v>
      </c>
    </row>
    <row r="3458" spans="1:13" x14ac:dyDescent="0.25">
      <c r="A3458" t="str">
        <f>"00541803"</f>
        <v>00541803</v>
      </c>
      <c r="B3458" t="s">
        <v>2061</v>
      </c>
      <c r="C3458" t="s">
        <v>790</v>
      </c>
      <c r="D3458" t="s">
        <v>21</v>
      </c>
      <c r="E3458" t="s">
        <v>26</v>
      </c>
      <c r="F3458" t="s">
        <v>17</v>
      </c>
      <c r="G3458" t="str">
        <f>"10"</f>
        <v>10</v>
      </c>
      <c r="H3458" t="str">
        <f>"0  "</f>
        <v xml:space="preserve">0  </v>
      </c>
      <c r="I3458" t="str">
        <f>"2020/09/18"</f>
        <v>2020/09/18</v>
      </c>
      <c r="J3458" t="str">
        <f>"420"</f>
        <v>420</v>
      </c>
      <c r="K3458" t="s">
        <v>18</v>
      </c>
      <c r="L3458" t="s">
        <v>18</v>
      </c>
      <c r="M3458" t="s">
        <v>18</v>
      </c>
    </row>
    <row r="3459" spans="1:13" x14ac:dyDescent="0.25">
      <c r="A3459" t="str">
        <f>"00671978"</f>
        <v>00671978</v>
      </c>
      <c r="B3459" t="s">
        <v>2061</v>
      </c>
      <c r="C3459" t="s">
        <v>2066</v>
      </c>
      <c r="D3459" t="s">
        <v>21</v>
      </c>
      <c r="E3459" t="s">
        <v>26</v>
      </c>
      <c r="F3459" t="s">
        <v>17</v>
      </c>
      <c r="G3459" t="str">
        <f>"10"</f>
        <v>10</v>
      </c>
      <c r="H3459" t="str">
        <f>"0  "</f>
        <v xml:space="preserve">0  </v>
      </c>
      <c r="I3459" t="str">
        <f>"2020/09/14"</f>
        <v>2020/09/14</v>
      </c>
      <c r="J3459" t="str">
        <f>"420"</f>
        <v>420</v>
      </c>
      <c r="K3459" t="s">
        <v>18</v>
      </c>
      <c r="L3459" t="s">
        <v>18</v>
      </c>
      <c r="M3459" t="s">
        <v>18</v>
      </c>
    </row>
    <row r="3460" spans="1:13" x14ac:dyDescent="0.25">
      <c r="A3460" t="str">
        <f>"00430099"</f>
        <v>00430099</v>
      </c>
      <c r="B3460" t="s">
        <v>2061</v>
      </c>
      <c r="C3460" t="s">
        <v>308</v>
      </c>
      <c r="D3460" t="s">
        <v>16</v>
      </c>
      <c r="E3460" t="s">
        <v>16</v>
      </c>
      <c r="F3460" t="s">
        <v>17</v>
      </c>
      <c r="G3460" t="str">
        <f>"10"</f>
        <v>10</v>
      </c>
      <c r="H3460" t="str">
        <f>"0  "</f>
        <v xml:space="preserve">0  </v>
      </c>
      <c r="I3460" t="str">
        <f>"2020/08/20"</f>
        <v>2020/08/20</v>
      </c>
      <c r="J3460" t="str">
        <f>"420"</f>
        <v>420</v>
      </c>
      <c r="K3460" t="s">
        <v>18</v>
      </c>
      <c r="L3460" t="s">
        <v>18</v>
      </c>
      <c r="M3460" t="s">
        <v>18</v>
      </c>
    </row>
    <row r="3461" spans="1:13" x14ac:dyDescent="0.25">
      <c r="A3461" t="str">
        <f>"00558746"</f>
        <v>00558746</v>
      </c>
      <c r="B3461" t="s">
        <v>2061</v>
      </c>
      <c r="C3461" t="s">
        <v>1848</v>
      </c>
      <c r="D3461" t="s">
        <v>80</v>
      </c>
      <c r="E3461" t="s">
        <v>26</v>
      </c>
      <c r="F3461" t="s">
        <v>17</v>
      </c>
      <c r="G3461" t="str">
        <f>"10"</f>
        <v>10</v>
      </c>
      <c r="H3461" t="str">
        <f>"3  "</f>
        <v xml:space="preserve">3  </v>
      </c>
      <c r="I3461" t="str">
        <f>"2016/06/16"</f>
        <v>2016/06/16</v>
      </c>
      <c r="J3461" t="str">
        <f>"110"</f>
        <v>110</v>
      </c>
      <c r="K3461" t="str">
        <f>"20210511"</f>
        <v>20210511</v>
      </c>
      <c r="L3461" t="s">
        <v>18</v>
      </c>
      <c r="M3461" t="str">
        <f>"20150916"</f>
        <v>20150916</v>
      </c>
    </row>
    <row r="3462" spans="1:13" x14ac:dyDescent="0.25">
      <c r="A3462" t="str">
        <f>"00792206"</f>
        <v>00792206</v>
      </c>
      <c r="B3462" t="s">
        <v>2061</v>
      </c>
      <c r="C3462" t="s">
        <v>2068</v>
      </c>
      <c r="D3462" t="s">
        <v>73</v>
      </c>
      <c r="E3462" t="s">
        <v>26</v>
      </c>
      <c r="F3462" t="s">
        <v>17</v>
      </c>
      <c r="G3462" t="str">
        <f>"10"</f>
        <v>10</v>
      </c>
      <c r="H3462" t="str">
        <f>"0  "</f>
        <v xml:space="preserve">0  </v>
      </c>
      <c r="I3462" t="str">
        <f>"2020/07/30"</f>
        <v>2020/07/30</v>
      </c>
      <c r="J3462" t="str">
        <f>"420"</f>
        <v>420</v>
      </c>
      <c r="K3462" t="s">
        <v>18</v>
      </c>
      <c r="L3462" t="s">
        <v>18</v>
      </c>
      <c r="M3462" t="s">
        <v>18</v>
      </c>
    </row>
    <row r="3463" spans="1:13" x14ac:dyDescent="0.25">
      <c r="A3463" t="str">
        <f>"00903065"</f>
        <v>00903065</v>
      </c>
      <c r="B3463" t="s">
        <v>2061</v>
      </c>
      <c r="C3463" t="s">
        <v>2069</v>
      </c>
      <c r="D3463" t="s">
        <v>53</v>
      </c>
      <c r="E3463" t="s">
        <v>26</v>
      </c>
      <c r="F3463" t="s">
        <v>17</v>
      </c>
      <c r="G3463" t="str">
        <f>"10"</f>
        <v>10</v>
      </c>
      <c r="H3463" t="str">
        <f>"0  "</f>
        <v xml:space="preserve">0  </v>
      </c>
      <c r="I3463" t="str">
        <f>"2020/05/20"</f>
        <v>2020/05/20</v>
      </c>
      <c r="J3463" t="str">
        <f>"420"</f>
        <v>420</v>
      </c>
      <c r="K3463" t="s">
        <v>18</v>
      </c>
      <c r="L3463" t="s">
        <v>18</v>
      </c>
      <c r="M3463" t="s">
        <v>18</v>
      </c>
    </row>
    <row r="3464" spans="1:13" x14ac:dyDescent="0.25">
      <c r="A3464" t="str">
        <f>"00466045"</f>
        <v>00466045</v>
      </c>
      <c r="B3464" t="s">
        <v>2061</v>
      </c>
      <c r="C3464" t="s">
        <v>55</v>
      </c>
      <c r="D3464" t="s">
        <v>37</v>
      </c>
      <c r="E3464" t="s">
        <v>26</v>
      </c>
      <c r="F3464" t="s">
        <v>17</v>
      </c>
      <c r="G3464" t="str">
        <f>"10"</f>
        <v>10</v>
      </c>
      <c r="H3464" t="str">
        <f>"3  "</f>
        <v xml:space="preserve">3  </v>
      </c>
      <c r="I3464" t="str">
        <f>"2019/12/22"</f>
        <v>2019/12/22</v>
      </c>
      <c r="J3464" t="str">
        <f>"110"</f>
        <v>110</v>
      </c>
      <c r="K3464" t="str">
        <f>"20210301"</f>
        <v>20210301</v>
      </c>
      <c r="L3464" t="s">
        <v>18</v>
      </c>
      <c r="M3464" t="str">
        <f>"20190518"</f>
        <v>20190518</v>
      </c>
    </row>
    <row r="3465" spans="1:13" x14ac:dyDescent="0.25">
      <c r="A3465" t="str">
        <f>"00494098"</f>
        <v>00494098</v>
      </c>
      <c r="B3465" t="s">
        <v>2061</v>
      </c>
      <c r="C3465" t="s">
        <v>138</v>
      </c>
      <c r="D3465" t="s">
        <v>61</v>
      </c>
      <c r="E3465" t="s">
        <v>26</v>
      </c>
      <c r="F3465" t="s">
        <v>17</v>
      </c>
      <c r="G3465" t="str">
        <f>"10"</f>
        <v>10</v>
      </c>
      <c r="H3465" t="str">
        <f>"3  "</f>
        <v xml:space="preserve">3  </v>
      </c>
      <c r="I3465" t="str">
        <f>"2018/07/31"</f>
        <v>2018/07/31</v>
      </c>
      <c r="J3465" t="str">
        <f>"110"</f>
        <v>110</v>
      </c>
      <c r="K3465" t="str">
        <f>"20220607"</f>
        <v>20220607</v>
      </c>
      <c r="L3465" t="s">
        <v>18</v>
      </c>
      <c r="M3465" t="str">
        <f>"20180316"</f>
        <v>20180316</v>
      </c>
    </row>
    <row r="3466" spans="1:13" x14ac:dyDescent="0.25">
      <c r="A3466" t="str">
        <f>"00590203"</f>
        <v>00590203</v>
      </c>
      <c r="B3466" t="s">
        <v>2073</v>
      </c>
      <c r="C3466" t="s">
        <v>623</v>
      </c>
      <c r="D3466" t="s">
        <v>15</v>
      </c>
      <c r="E3466" t="s">
        <v>26</v>
      </c>
      <c r="F3466" t="s">
        <v>17</v>
      </c>
      <c r="G3466" t="str">
        <f>"10"</f>
        <v>10</v>
      </c>
      <c r="H3466" t="str">
        <f>"3  "</f>
        <v xml:space="preserve">3  </v>
      </c>
      <c r="I3466" t="str">
        <f>"2014/10/31"</f>
        <v>2014/10/31</v>
      </c>
      <c r="J3466" t="str">
        <f>"110"</f>
        <v>110</v>
      </c>
      <c r="K3466" t="str">
        <f>"20220130"</f>
        <v>20220130</v>
      </c>
      <c r="L3466" t="s">
        <v>18</v>
      </c>
      <c r="M3466" t="str">
        <f>"20130808"</f>
        <v>20130808</v>
      </c>
    </row>
    <row r="3467" spans="1:13" x14ac:dyDescent="0.25">
      <c r="A3467" t="str">
        <f>"00622876"</f>
        <v>00622876</v>
      </c>
      <c r="B3467" t="s">
        <v>2073</v>
      </c>
      <c r="C3467" t="s">
        <v>1075</v>
      </c>
      <c r="D3467" t="s">
        <v>142</v>
      </c>
      <c r="E3467" t="s">
        <v>26</v>
      </c>
      <c r="F3467" t="s">
        <v>17</v>
      </c>
      <c r="G3467" t="str">
        <f>"10"</f>
        <v>10</v>
      </c>
      <c r="H3467" t="str">
        <f>"0  "</f>
        <v xml:space="preserve">0  </v>
      </c>
      <c r="I3467" t="str">
        <f>"2020/08/26"</f>
        <v>2020/08/26</v>
      </c>
      <c r="J3467" t="str">
        <f>"420"</f>
        <v>420</v>
      </c>
      <c r="K3467" t="s">
        <v>18</v>
      </c>
      <c r="L3467" t="s">
        <v>18</v>
      </c>
      <c r="M3467" t="s">
        <v>18</v>
      </c>
    </row>
    <row r="3468" spans="1:13" x14ac:dyDescent="0.25">
      <c r="A3468" t="str">
        <f>"00820039"</f>
        <v>00820039</v>
      </c>
      <c r="B3468" t="s">
        <v>2073</v>
      </c>
      <c r="C3468" t="s">
        <v>1121</v>
      </c>
      <c r="D3468" t="s">
        <v>25</v>
      </c>
      <c r="E3468" t="s">
        <v>26</v>
      </c>
      <c r="F3468" t="s">
        <v>17</v>
      </c>
      <c r="G3468" t="str">
        <f>"10"</f>
        <v>10</v>
      </c>
      <c r="H3468" t="str">
        <f>"0  "</f>
        <v xml:space="preserve">0  </v>
      </c>
      <c r="I3468" t="str">
        <f>"2020/09/04"</f>
        <v>2020/09/04</v>
      </c>
      <c r="J3468" t="str">
        <f>"420"</f>
        <v>420</v>
      </c>
      <c r="K3468" t="s">
        <v>18</v>
      </c>
      <c r="L3468" t="s">
        <v>18</v>
      </c>
      <c r="M3468" t="s">
        <v>18</v>
      </c>
    </row>
    <row r="3469" spans="1:13" x14ac:dyDescent="0.25">
      <c r="A3469" t="str">
        <f>"00898551"</f>
        <v>00898551</v>
      </c>
      <c r="B3469" t="s">
        <v>2073</v>
      </c>
      <c r="C3469" t="s">
        <v>650</v>
      </c>
      <c r="D3469" t="s">
        <v>25</v>
      </c>
      <c r="E3469" t="s">
        <v>26</v>
      </c>
      <c r="F3469" t="s">
        <v>17</v>
      </c>
      <c r="G3469" t="str">
        <f>"10"</f>
        <v>10</v>
      </c>
      <c r="H3469" t="str">
        <f>"3  "</f>
        <v xml:space="preserve">3  </v>
      </c>
      <c r="I3469" t="str">
        <f>"2019/08/04"</f>
        <v>2019/08/04</v>
      </c>
      <c r="J3469" t="str">
        <f>"110"</f>
        <v>110</v>
      </c>
      <c r="K3469" t="str">
        <f>"20210921"</f>
        <v>20210921</v>
      </c>
      <c r="L3469" t="s">
        <v>18</v>
      </c>
      <c r="M3469" t="str">
        <f>"20190214"</f>
        <v>20190214</v>
      </c>
    </row>
    <row r="3470" spans="1:13" x14ac:dyDescent="0.25">
      <c r="A3470" t="str">
        <f>"00399266"</f>
        <v>00399266</v>
      </c>
      <c r="B3470" t="s">
        <v>2073</v>
      </c>
      <c r="C3470" t="s">
        <v>74</v>
      </c>
      <c r="D3470" t="s">
        <v>21</v>
      </c>
      <c r="E3470" t="s">
        <v>16</v>
      </c>
      <c r="F3470" t="s">
        <v>17</v>
      </c>
      <c r="G3470" t="str">
        <f>"10"</f>
        <v>10</v>
      </c>
      <c r="H3470" t="str">
        <f>"3  "</f>
        <v xml:space="preserve">3  </v>
      </c>
      <c r="I3470" t="str">
        <f>"2020/09/16"</f>
        <v>2020/09/16</v>
      </c>
      <c r="J3470" t="str">
        <f>"502"</f>
        <v>502</v>
      </c>
      <c r="K3470" t="str">
        <f>"20210720"</f>
        <v>20210720</v>
      </c>
      <c r="L3470" t="s">
        <v>18</v>
      </c>
      <c r="M3470" t="str">
        <f>"20140505"</f>
        <v>20140505</v>
      </c>
    </row>
    <row r="3471" spans="1:13" x14ac:dyDescent="0.25">
      <c r="A3471" t="str">
        <f>"00521067"</f>
        <v>00521067</v>
      </c>
      <c r="B3471" t="s">
        <v>2085</v>
      </c>
      <c r="C3471" t="s">
        <v>2087</v>
      </c>
      <c r="D3471" t="s">
        <v>97</v>
      </c>
      <c r="E3471" t="s">
        <v>26</v>
      </c>
      <c r="F3471" t="s">
        <v>17</v>
      </c>
      <c r="G3471" t="str">
        <f>"10"</f>
        <v>10</v>
      </c>
      <c r="H3471" t="str">
        <f>"0  "</f>
        <v xml:space="preserve">0  </v>
      </c>
      <c r="I3471" t="str">
        <f>"2020/08/31"</f>
        <v>2020/08/31</v>
      </c>
      <c r="J3471" t="str">
        <f>"420"</f>
        <v>420</v>
      </c>
      <c r="K3471" t="s">
        <v>18</v>
      </c>
      <c r="L3471" t="s">
        <v>18</v>
      </c>
      <c r="M3471" t="s">
        <v>18</v>
      </c>
    </row>
    <row r="3472" spans="1:13" x14ac:dyDescent="0.25">
      <c r="A3472" t="str">
        <f>"00526777"</f>
        <v>00526777</v>
      </c>
      <c r="B3472" t="s">
        <v>2085</v>
      </c>
      <c r="C3472" t="s">
        <v>169</v>
      </c>
      <c r="D3472" t="s">
        <v>37</v>
      </c>
      <c r="E3472" t="s">
        <v>26</v>
      </c>
      <c r="F3472" t="s">
        <v>17</v>
      </c>
      <c r="G3472" t="str">
        <f>"10"</f>
        <v>10</v>
      </c>
      <c r="H3472" t="str">
        <f>"0  "</f>
        <v xml:space="preserve">0  </v>
      </c>
      <c r="I3472" t="str">
        <f>"2020/09/21"</f>
        <v>2020/09/21</v>
      </c>
      <c r="J3472" t="str">
        <f>"420"</f>
        <v>420</v>
      </c>
      <c r="K3472" t="s">
        <v>18</v>
      </c>
      <c r="L3472" t="s">
        <v>18</v>
      </c>
      <c r="M3472" t="s">
        <v>18</v>
      </c>
    </row>
    <row r="3473" spans="1:13" x14ac:dyDescent="0.25">
      <c r="A3473" t="str">
        <f>"00630147"</f>
        <v>00630147</v>
      </c>
      <c r="B3473" t="s">
        <v>2091</v>
      </c>
      <c r="C3473" t="s">
        <v>398</v>
      </c>
      <c r="D3473" t="s">
        <v>25</v>
      </c>
      <c r="E3473" t="s">
        <v>16</v>
      </c>
      <c r="F3473" t="s">
        <v>17</v>
      </c>
      <c r="G3473" t="str">
        <f>"10"</f>
        <v>10</v>
      </c>
      <c r="H3473" t="str">
        <f>"0  "</f>
        <v xml:space="preserve">0  </v>
      </c>
      <c r="I3473" t="str">
        <f>"2020/09/19"</f>
        <v>2020/09/19</v>
      </c>
      <c r="J3473" t="str">
        <f>"420"</f>
        <v>420</v>
      </c>
      <c r="K3473" t="s">
        <v>18</v>
      </c>
      <c r="L3473" t="s">
        <v>18</v>
      </c>
      <c r="M3473" t="s">
        <v>18</v>
      </c>
    </row>
    <row r="3474" spans="1:13" x14ac:dyDescent="0.25">
      <c r="A3474" t="str">
        <f>"00851087"</f>
        <v>00851087</v>
      </c>
      <c r="B3474" t="s">
        <v>2099</v>
      </c>
      <c r="C3474" t="s">
        <v>2010</v>
      </c>
      <c r="D3474" t="s">
        <v>51</v>
      </c>
      <c r="E3474" t="s">
        <v>16</v>
      </c>
      <c r="F3474" t="s">
        <v>17</v>
      </c>
      <c r="G3474" t="str">
        <f>"10"</f>
        <v>10</v>
      </c>
      <c r="H3474" t="str">
        <f>"3  "</f>
        <v xml:space="preserve">3  </v>
      </c>
      <c r="I3474" t="str">
        <f>"2017/09/20"</f>
        <v>2017/09/20</v>
      </c>
      <c r="J3474" t="str">
        <f>"110"</f>
        <v>110</v>
      </c>
      <c r="K3474" t="str">
        <f>"20221016"</f>
        <v>20221016</v>
      </c>
      <c r="L3474" t="s">
        <v>18</v>
      </c>
      <c r="M3474" t="str">
        <f>"20170918"</f>
        <v>20170918</v>
      </c>
    </row>
    <row r="3475" spans="1:13" x14ac:dyDescent="0.25">
      <c r="A3475" t="str">
        <f>"00549813"</f>
        <v>00549813</v>
      </c>
      <c r="B3475" t="s">
        <v>2102</v>
      </c>
      <c r="C3475" t="s">
        <v>1387</v>
      </c>
      <c r="D3475" t="s">
        <v>40</v>
      </c>
      <c r="E3475" t="s">
        <v>16</v>
      </c>
      <c r="F3475" t="s">
        <v>17</v>
      </c>
      <c r="G3475" t="str">
        <f>"10"</f>
        <v>10</v>
      </c>
      <c r="H3475" t="str">
        <f>"0  "</f>
        <v xml:space="preserve">0  </v>
      </c>
      <c r="I3475" t="str">
        <f>"2020/06/01"</f>
        <v>2020/06/01</v>
      </c>
      <c r="J3475" t="str">
        <f>"420"</f>
        <v>420</v>
      </c>
      <c r="K3475" t="s">
        <v>18</v>
      </c>
      <c r="L3475" t="s">
        <v>18</v>
      </c>
      <c r="M3475" t="s">
        <v>18</v>
      </c>
    </row>
    <row r="3476" spans="1:13" x14ac:dyDescent="0.25">
      <c r="A3476" t="str">
        <f>"00654753"</f>
        <v>00654753</v>
      </c>
      <c r="B3476" t="s">
        <v>2103</v>
      </c>
      <c r="C3476" t="s">
        <v>2104</v>
      </c>
      <c r="D3476" t="s">
        <v>15</v>
      </c>
      <c r="E3476" t="s">
        <v>26</v>
      </c>
      <c r="F3476" t="s">
        <v>17</v>
      </c>
      <c r="G3476" t="str">
        <f>"10"</f>
        <v>10</v>
      </c>
      <c r="H3476" t="str">
        <f>"0  "</f>
        <v xml:space="preserve">0  </v>
      </c>
      <c r="I3476" t="str">
        <f>"2020/07/08"</f>
        <v>2020/07/08</v>
      </c>
      <c r="J3476" t="str">
        <f>"420"</f>
        <v>420</v>
      </c>
      <c r="K3476" t="s">
        <v>18</v>
      </c>
      <c r="L3476" t="s">
        <v>18</v>
      </c>
      <c r="M3476" t="s">
        <v>18</v>
      </c>
    </row>
    <row r="3477" spans="1:13" x14ac:dyDescent="0.25">
      <c r="A3477" t="str">
        <f>"00782914"</f>
        <v>00782914</v>
      </c>
      <c r="B3477" t="s">
        <v>2103</v>
      </c>
      <c r="C3477" t="s">
        <v>118</v>
      </c>
      <c r="D3477" t="s">
        <v>61</v>
      </c>
      <c r="E3477" t="s">
        <v>26</v>
      </c>
      <c r="F3477" t="s">
        <v>17</v>
      </c>
      <c r="G3477" t="str">
        <f>"10"</f>
        <v>10</v>
      </c>
      <c r="H3477" t="str">
        <f>"3  "</f>
        <v xml:space="preserve">3  </v>
      </c>
      <c r="I3477" t="str">
        <f>"2019/10/28"</f>
        <v>2019/10/28</v>
      </c>
      <c r="J3477" t="str">
        <f>"110"</f>
        <v>110</v>
      </c>
      <c r="K3477" t="str">
        <f>"20250217"</f>
        <v>20250217</v>
      </c>
      <c r="L3477" t="s">
        <v>18</v>
      </c>
      <c r="M3477" t="str">
        <f>"20190407"</f>
        <v>20190407</v>
      </c>
    </row>
    <row r="3478" spans="1:13" x14ac:dyDescent="0.25">
      <c r="A3478" t="str">
        <f>"00447708"</f>
        <v>00447708</v>
      </c>
      <c r="B3478" t="s">
        <v>2103</v>
      </c>
      <c r="C3478" t="s">
        <v>595</v>
      </c>
      <c r="D3478" t="s">
        <v>21</v>
      </c>
      <c r="E3478" t="s">
        <v>26</v>
      </c>
      <c r="F3478" t="s">
        <v>17</v>
      </c>
      <c r="G3478" t="str">
        <f>"10"</f>
        <v>10</v>
      </c>
      <c r="H3478" t="str">
        <f>"1  "</f>
        <v xml:space="preserve">1  </v>
      </c>
      <c r="I3478" t="str">
        <f>"2020/06/25"</f>
        <v>2020/06/25</v>
      </c>
      <c r="J3478" t="str">
        <f>"110"</f>
        <v>110</v>
      </c>
      <c r="K3478" t="str">
        <f>"20201025"</f>
        <v>20201025</v>
      </c>
      <c r="L3478" t="s">
        <v>18</v>
      </c>
      <c r="M3478" t="str">
        <f>"20191119"</f>
        <v>20191119</v>
      </c>
    </row>
    <row r="3479" spans="1:13" x14ac:dyDescent="0.25">
      <c r="A3479" t="str">
        <f>"00306875"</f>
        <v>00306875</v>
      </c>
      <c r="B3479" t="s">
        <v>2103</v>
      </c>
      <c r="C3479" t="s">
        <v>2106</v>
      </c>
      <c r="D3479" t="s">
        <v>25</v>
      </c>
      <c r="E3479" t="s">
        <v>26</v>
      </c>
      <c r="F3479" t="s">
        <v>17</v>
      </c>
      <c r="G3479" t="str">
        <f>"10"</f>
        <v>10</v>
      </c>
      <c r="H3479" t="str">
        <f>"3  "</f>
        <v xml:space="preserve">3  </v>
      </c>
      <c r="I3479" t="str">
        <f>"2017/08/03"</f>
        <v>2017/08/03</v>
      </c>
      <c r="J3479" t="str">
        <f>"110"</f>
        <v>110</v>
      </c>
      <c r="K3479" t="str">
        <f>"20210121"</f>
        <v>20210121</v>
      </c>
      <c r="L3479" t="s">
        <v>18</v>
      </c>
      <c r="M3479" t="str">
        <f>"20170801"</f>
        <v>20170801</v>
      </c>
    </row>
    <row r="3480" spans="1:13" x14ac:dyDescent="0.25">
      <c r="A3480" t="str">
        <f>"00671041"</f>
        <v>00671041</v>
      </c>
      <c r="B3480" t="s">
        <v>2103</v>
      </c>
      <c r="C3480" t="s">
        <v>2107</v>
      </c>
      <c r="D3480" t="s">
        <v>61</v>
      </c>
      <c r="E3480" t="s">
        <v>26</v>
      </c>
      <c r="F3480" t="s">
        <v>17</v>
      </c>
      <c r="G3480" t="str">
        <f>"10"</f>
        <v>10</v>
      </c>
      <c r="H3480" t="str">
        <f>"3  "</f>
        <v xml:space="preserve">3  </v>
      </c>
      <c r="I3480" t="str">
        <f>"2015/07/24"</f>
        <v>2015/07/24</v>
      </c>
      <c r="J3480" t="str">
        <f>"110"</f>
        <v>110</v>
      </c>
      <c r="K3480" t="str">
        <f>"20220412"</f>
        <v>20220412</v>
      </c>
      <c r="L3480" t="s">
        <v>18</v>
      </c>
      <c r="M3480" t="str">
        <f>"20140818"</f>
        <v>20140818</v>
      </c>
    </row>
    <row r="3481" spans="1:13" x14ac:dyDescent="0.25">
      <c r="A3481" t="str">
        <f>"00555521"</f>
        <v>00555521</v>
      </c>
      <c r="B3481" t="s">
        <v>2103</v>
      </c>
      <c r="C3481" t="s">
        <v>2109</v>
      </c>
      <c r="D3481" t="s">
        <v>97</v>
      </c>
      <c r="E3481" t="s">
        <v>26</v>
      </c>
      <c r="F3481" t="s">
        <v>17</v>
      </c>
      <c r="G3481" t="str">
        <f>"10"</f>
        <v>10</v>
      </c>
      <c r="H3481" t="str">
        <f>"0  "</f>
        <v xml:space="preserve">0  </v>
      </c>
      <c r="I3481" t="str">
        <f>"2020/09/11"</f>
        <v>2020/09/11</v>
      </c>
      <c r="J3481" t="str">
        <f>"420"</f>
        <v>420</v>
      </c>
      <c r="K3481" t="s">
        <v>18</v>
      </c>
      <c r="L3481" t="s">
        <v>18</v>
      </c>
      <c r="M3481" t="s">
        <v>18</v>
      </c>
    </row>
    <row r="3482" spans="1:13" x14ac:dyDescent="0.25">
      <c r="A3482" t="str">
        <f>"00537502"</f>
        <v>00537502</v>
      </c>
      <c r="B3482" t="s">
        <v>2103</v>
      </c>
      <c r="C3482" t="s">
        <v>246</v>
      </c>
      <c r="D3482" t="s">
        <v>15</v>
      </c>
      <c r="E3482" t="s">
        <v>26</v>
      </c>
      <c r="F3482" t="s">
        <v>17</v>
      </c>
      <c r="G3482" t="str">
        <f>"10"</f>
        <v>10</v>
      </c>
      <c r="H3482" t="str">
        <f>"3  "</f>
        <v xml:space="preserve">3  </v>
      </c>
      <c r="I3482" t="str">
        <f>"2020/06/02"</f>
        <v>2020/06/02</v>
      </c>
      <c r="J3482" t="str">
        <f>"120"</f>
        <v>120</v>
      </c>
      <c r="K3482" t="str">
        <f>"20201022"</f>
        <v>20201022</v>
      </c>
      <c r="L3482" t="s">
        <v>18</v>
      </c>
      <c r="M3482" t="str">
        <f>"20190109"</f>
        <v>20190109</v>
      </c>
    </row>
    <row r="3483" spans="1:13" x14ac:dyDescent="0.25">
      <c r="A3483" t="str">
        <f>"00387013"</f>
        <v>00387013</v>
      </c>
      <c r="B3483" t="s">
        <v>2103</v>
      </c>
      <c r="C3483" t="s">
        <v>2110</v>
      </c>
      <c r="D3483" t="s">
        <v>61</v>
      </c>
      <c r="E3483" t="s">
        <v>26</v>
      </c>
      <c r="F3483" t="s">
        <v>17</v>
      </c>
      <c r="G3483" t="str">
        <f>"10"</f>
        <v>10</v>
      </c>
      <c r="H3483" t="str">
        <f>"3  "</f>
        <v xml:space="preserve">3  </v>
      </c>
      <c r="I3483" t="str">
        <f>"2017/12/12"</f>
        <v>2017/12/12</v>
      </c>
      <c r="J3483" t="str">
        <f>"120"</f>
        <v>120</v>
      </c>
      <c r="K3483" t="str">
        <f>"20230615"</f>
        <v>20230615</v>
      </c>
      <c r="L3483" t="s">
        <v>18</v>
      </c>
      <c r="M3483" t="str">
        <f>"20170523"</f>
        <v>20170523</v>
      </c>
    </row>
    <row r="3484" spans="1:13" x14ac:dyDescent="0.25">
      <c r="A3484" t="str">
        <f>"00800426"</f>
        <v>00800426</v>
      </c>
      <c r="B3484" t="s">
        <v>2103</v>
      </c>
      <c r="C3484" t="s">
        <v>261</v>
      </c>
      <c r="D3484" t="s">
        <v>25</v>
      </c>
      <c r="E3484" t="s">
        <v>26</v>
      </c>
      <c r="F3484" t="s">
        <v>17</v>
      </c>
      <c r="G3484" t="str">
        <f>"10"</f>
        <v>10</v>
      </c>
      <c r="H3484" t="str">
        <f>"0  "</f>
        <v xml:space="preserve">0  </v>
      </c>
      <c r="I3484" t="str">
        <f>"2020/09/03"</f>
        <v>2020/09/03</v>
      </c>
      <c r="J3484" t="str">
        <f>"420"</f>
        <v>420</v>
      </c>
      <c r="K3484" t="s">
        <v>18</v>
      </c>
      <c r="L3484" t="s">
        <v>18</v>
      </c>
      <c r="M3484" t="s">
        <v>18</v>
      </c>
    </row>
    <row r="3485" spans="1:13" x14ac:dyDescent="0.25">
      <c r="A3485" t="str">
        <f>"00781553"</f>
        <v>00781553</v>
      </c>
      <c r="B3485" t="s">
        <v>2103</v>
      </c>
      <c r="C3485" t="s">
        <v>2111</v>
      </c>
      <c r="D3485" t="s">
        <v>25</v>
      </c>
      <c r="E3485" t="s">
        <v>26</v>
      </c>
      <c r="F3485" t="s">
        <v>17</v>
      </c>
      <c r="G3485" t="str">
        <f>"10"</f>
        <v>10</v>
      </c>
      <c r="H3485" t="str">
        <f>"3  "</f>
        <v xml:space="preserve">3  </v>
      </c>
      <c r="I3485" t="str">
        <f>"2019/08/29"</f>
        <v>2019/08/29</v>
      </c>
      <c r="J3485" t="str">
        <f>"503"</f>
        <v>503</v>
      </c>
      <c r="K3485" t="str">
        <f>"20210909"</f>
        <v>20210909</v>
      </c>
      <c r="L3485" t="s">
        <v>18</v>
      </c>
      <c r="M3485" t="str">
        <f>"20180330"</f>
        <v>20180330</v>
      </c>
    </row>
    <row r="3486" spans="1:13" x14ac:dyDescent="0.25">
      <c r="A3486" t="str">
        <f>"00370067"</f>
        <v>00370067</v>
      </c>
      <c r="B3486" t="s">
        <v>2103</v>
      </c>
      <c r="C3486" t="s">
        <v>122</v>
      </c>
      <c r="D3486" t="s">
        <v>80</v>
      </c>
      <c r="E3486" t="s">
        <v>26</v>
      </c>
      <c r="F3486" t="s">
        <v>17</v>
      </c>
      <c r="G3486" t="str">
        <f>"10"</f>
        <v>10</v>
      </c>
      <c r="H3486" t="str">
        <f>"1  "</f>
        <v xml:space="preserve">1  </v>
      </c>
      <c r="I3486" t="str">
        <f>"2020/09/04"</f>
        <v>2020/09/04</v>
      </c>
      <c r="J3486" t="str">
        <f>"110"</f>
        <v>110</v>
      </c>
      <c r="K3486" t="str">
        <f>"20201128"</f>
        <v>20201128</v>
      </c>
      <c r="L3486" t="s">
        <v>18</v>
      </c>
      <c r="M3486" t="str">
        <f>"20200828"</f>
        <v>20200828</v>
      </c>
    </row>
    <row r="3487" spans="1:13" x14ac:dyDescent="0.25">
      <c r="A3487" t="str">
        <f>"00839879"</f>
        <v>00839879</v>
      </c>
      <c r="B3487" t="s">
        <v>2103</v>
      </c>
      <c r="C3487" t="s">
        <v>320</v>
      </c>
      <c r="D3487" t="s">
        <v>45</v>
      </c>
      <c r="E3487" t="s">
        <v>26</v>
      </c>
      <c r="F3487" t="s">
        <v>17</v>
      </c>
      <c r="G3487" t="str">
        <f>"10"</f>
        <v>10</v>
      </c>
      <c r="H3487" t="str">
        <f>"3  "</f>
        <v xml:space="preserve">3  </v>
      </c>
      <c r="I3487" t="str">
        <f>"2017/12/09"</f>
        <v>2017/12/09</v>
      </c>
      <c r="J3487" t="str">
        <f>"110"</f>
        <v>110</v>
      </c>
      <c r="K3487" t="str">
        <f>"20230523"</f>
        <v>20230523</v>
      </c>
      <c r="L3487" t="s">
        <v>18</v>
      </c>
      <c r="M3487" t="str">
        <f>"20160707"</f>
        <v>20160707</v>
      </c>
    </row>
    <row r="3488" spans="1:13" x14ac:dyDescent="0.25">
      <c r="A3488" t="str">
        <f>"00508463"</f>
        <v>00508463</v>
      </c>
      <c r="B3488" t="s">
        <v>2103</v>
      </c>
      <c r="C3488" t="s">
        <v>74</v>
      </c>
      <c r="D3488" t="s">
        <v>15</v>
      </c>
      <c r="E3488" t="s">
        <v>16</v>
      </c>
      <c r="F3488" t="s">
        <v>17</v>
      </c>
      <c r="G3488" t="str">
        <f>"10"</f>
        <v>10</v>
      </c>
      <c r="H3488" t="str">
        <f>"0  "</f>
        <v xml:space="preserve">0  </v>
      </c>
      <c r="I3488" t="str">
        <f>"2020/07/26"</f>
        <v>2020/07/26</v>
      </c>
      <c r="J3488" t="str">
        <f>"512"</f>
        <v>512</v>
      </c>
      <c r="K3488" t="s">
        <v>18</v>
      </c>
      <c r="L3488" t="s">
        <v>18</v>
      </c>
      <c r="M3488" t="s">
        <v>18</v>
      </c>
    </row>
    <row r="3489" spans="1:13" x14ac:dyDescent="0.25">
      <c r="A3489" t="str">
        <f>"00730062"</f>
        <v>00730062</v>
      </c>
      <c r="B3489" t="s">
        <v>2103</v>
      </c>
      <c r="C3489" t="s">
        <v>2116</v>
      </c>
      <c r="D3489" t="s">
        <v>53</v>
      </c>
      <c r="E3489" t="s">
        <v>26</v>
      </c>
      <c r="F3489" t="s">
        <v>17</v>
      </c>
      <c r="G3489" t="str">
        <f>"10"</f>
        <v>10</v>
      </c>
      <c r="H3489" t="str">
        <f>"0  "</f>
        <v xml:space="preserve">0  </v>
      </c>
      <c r="I3489" t="str">
        <f>"2020/06/25"</f>
        <v>2020/06/25</v>
      </c>
      <c r="J3489" t="str">
        <f>"420"</f>
        <v>420</v>
      </c>
      <c r="K3489" t="s">
        <v>18</v>
      </c>
      <c r="L3489" t="s">
        <v>18</v>
      </c>
      <c r="M3489" t="s">
        <v>18</v>
      </c>
    </row>
    <row r="3490" spans="1:13" x14ac:dyDescent="0.25">
      <c r="A3490" t="str">
        <f>"00176444"</f>
        <v>00176444</v>
      </c>
      <c r="B3490" t="s">
        <v>2103</v>
      </c>
      <c r="C3490" t="s">
        <v>55</v>
      </c>
      <c r="D3490" t="s">
        <v>61</v>
      </c>
      <c r="E3490" t="s">
        <v>16</v>
      </c>
      <c r="F3490" t="s">
        <v>17</v>
      </c>
      <c r="G3490" t="str">
        <f>"10"</f>
        <v>10</v>
      </c>
      <c r="H3490" t="str">
        <f>"3  "</f>
        <v xml:space="preserve">3  </v>
      </c>
      <c r="I3490" t="str">
        <f>"2017/03/07"</f>
        <v>2017/03/07</v>
      </c>
      <c r="J3490" t="str">
        <f>"110"</f>
        <v>110</v>
      </c>
      <c r="K3490" t="str">
        <f>"20210307"</f>
        <v>20210307</v>
      </c>
      <c r="L3490" t="s">
        <v>18</v>
      </c>
      <c r="M3490" t="str">
        <f>"20160311"</f>
        <v>20160311</v>
      </c>
    </row>
    <row r="3491" spans="1:13" x14ac:dyDescent="0.25">
      <c r="A3491" t="str">
        <f>"00366476"</f>
        <v>00366476</v>
      </c>
      <c r="B3491" t="s">
        <v>2103</v>
      </c>
      <c r="C3491" t="s">
        <v>55</v>
      </c>
      <c r="D3491" t="s">
        <v>51</v>
      </c>
      <c r="E3491" t="s">
        <v>26</v>
      </c>
      <c r="F3491" t="s">
        <v>17</v>
      </c>
      <c r="G3491" t="str">
        <f>"10"</f>
        <v>10</v>
      </c>
      <c r="H3491" t="str">
        <f>"3  "</f>
        <v xml:space="preserve">3  </v>
      </c>
      <c r="I3491" t="str">
        <f>"2017/12/02"</f>
        <v>2017/12/02</v>
      </c>
      <c r="J3491" t="str">
        <f>"110"</f>
        <v>110</v>
      </c>
      <c r="K3491" t="str">
        <f>"20220917"</f>
        <v>20220917</v>
      </c>
      <c r="L3491" t="s">
        <v>18</v>
      </c>
      <c r="M3491" t="str">
        <f>"20160911"</f>
        <v>20160911</v>
      </c>
    </row>
    <row r="3492" spans="1:13" x14ac:dyDescent="0.25">
      <c r="A3492" t="str">
        <f>"00331713"</f>
        <v>00331713</v>
      </c>
      <c r="B3492" t="s">
        <v>2103</v>
      </c>
      <c r="C3492" t="s">
        <v>358</v>
      </c>
      <c r="D3492" t="s">
        <v>16</v>
      </c>
      <c r="E3492" t="s">
        <v>26</v>
      </c>
      <c r="F3492" t="s">
        <v>17</v>
      </c>
      <c r="G3492" t="str">
        <f>"10"</f>
        <v>10</v>
      </c>
      <c r="H3492" t="str">
        <f>"0  "</f>
        <v xml:space="preserve">0  </v>
      </c>
      <c r="I3492" t="str">
        <f>"2020/07/31"</f>
        <v>2020/07/31</v>
      </c>
      <c r="J3492" t="str">
        <f>"512"</f>
        <v>512</v>
      </c>
      <c r="K3492" t="s">
        <v>18</v>
      </c>
      <c r="L3492" t="s">
        <v>18</v>
      </c>
      <c r="M3492" t="s">
        <v>18</v>
      </c>
    </row>
    <row r="3493" spans="1:13" x14ac:dyDescent="0.25">
      <c r="A3493" t="str">
        <f>"00678149"</f>
        <v>00678149</v>
      </c>
      <c r="B3493" t="s">
        <v>2103</v>
      </c>
      <c r="C3493" t="s">
        <v>325</v>
      </c>
      <c r="D3493" t="s">
        <v>51</v>
      </c>
      <c r="E3493" t="s">
        <v>26</v>
      </c>
      <c r="F3493" t="s">
        <v>17</v>
      </c>
      <c r="G3493" t="str">
        <f>"10"</f>
        <v>10</v>
      </c>
      <c r="H3493" t="str">
        <f>"0  "</f>
        <v xml:space="preserve">0  </v>
      </c>
      <c r="I3493" t="str">
        <f>"2020/09/22"</f>
        <v>2020/09/22</v>
      </c>
      <c r="J3493" t="str">
        <f>"420"</f>
        <v>420</v>
      </c>
      <c r="K3493" t="s">
        <v>18</v>
      </c>
      <c r="L3493" t="s">
        <v>18</v>
      </c>
      <c r="M3493" t="s">
        <v>18</v>
      </c>
    </row>
    <row r="3494" spans="1:13" x14ac:dyDescent="0.25">
      <c r="A3494" t="str">
        <f>"00507513"</f>
        <v>00507513</v>
      </c>
      <c r="B3494" t="s">
        <v>2103</v>
      </c>
      <c r="C3494" t="s">
        <v>755</v>
      </c>
      <c r="D3494" t="s">
        <v>15</v>
      </c>
      <c r="E3494" t="s">
        <v>26</v>
      </c>
      <c r="F3494" t="s">
        <v>17</v>
      </c>
      <c r="G3494" t="str">
        <f>"10"</f>
        <v>10</v>
      </c>
      <c r="H3494" t="str">
        <f>"3  "</f>
        <v xml:space="preserve">3  </v>
      </c>
      <c r="I3494" t="str">
        <f>"2018/03/28"</f>
        <v>2018/03/28</v>
      </c>
      <c r="J3494" t="str">
        <f>"110"</f>
        <v>110</v>
      </c>
      <c r="K3494" t="str">
        <f>"20220516"</f>
        <v>20220516</v>
      </c>
      <c r="L3494" t="s">
        <v>18</v>
      </c>
      <c r="M3494" t="str">
        <f>"20180214"</f>
        <v>20180214</v>
      </c>
    </row>
    <row r="3495" spans="1:13" x14ac:dyDescent="0.25">
      <c r="A3495" t="str">
        <f>"00843197"</f>
        <v>00843197</v>
      </c>
      <c r="B3495" t="s">
        <v>2122</v>
      </c>
      <c r="C3495" t="s">
        <v>592</v>
      </c>
      <c r="D3495" t="s">
        <v>26</v>
      </c>
      <c r="E3495" t="s">
        <v>26</v>
      </c>
      <c r="F3495" t="s">
        <v>17</v>
      </c>
      <c r="G3495" t="str">
        <f>"10"</f>
        <v>10</v>
      </c>
      <c r="H3495" t="str">
        <f>"0  "</f>
        <v xml:space="preserve">0  </v>
      </c>
      <c r="I3495" t="str">
        <f>"2020/07/07"</f>
        <v>2020/07/07</v>
      </c>
      <c r="J3495" t="str">
        <f>"420"</f>
        <v>420</v>
      </c>
      <c r="K3495" t="s">
        <v>18</v>
      </c>
      <c r="L3495" t="s">
        <v>18</v>
      </c>
      <c r="M3495" t="s">
        <v>18</v>
      </c>
    </row>
    <row r="3496" spans="1:13" x14ac:dyDescent="0.25">
      <c r="A3496" t="str">
        <f>"00531308"</f>
        <v>00531308</v>
      </c>
      <c r="B3496" t="s">
        <v>2122</v>
      </c>
      <c r="C3496" t="s">
        <v>1036</v>
      </c>
      <c r="D3496" t="s">
        <v>21</v>
      </c>
      <c r="E3496" t="s">
        <v>26</v>
      </c>
      <c r="F3496" t="s">
        <v>17</v>
      </c>
      <c r="G3496" t="str">
        <f>"10"</f>
        <v>10</v>
      </c>
      <c r="H3496" t="str">
        <f>"3  "</f>
        <v xml:space="preserve">3  </v>
      </c>
      <c r="I3496" t="str">
        <f>"2018/12/14"</f>
        <v>2018/12/14</v>
      </c>
      <c r="J3496" t="str">
        <f>"110"</f>
        <v>110</v>
      </c>
      <c r="K3496" t="str">
        <f>"20240817"</f>
        <v>20240817</v>
      </c>
      <c r="L3496" t="s">
        <v>18</v>
      </c>
      <c r="M3496" t="str">
        <f>"20170618"</f>
        <v>20170618</v>
      </c>
    </row>
    <row r="3497" spans="1:13" x14ac:dyDescent="0.25">
      <c r="A3497" t="str">
        <f>"00571425"</f>
        <v>00571425</v>
      </c>
      <c r="B3497" t="s">
        <v>2122</v>
      </c>
      <c r="C3497" t="s">
        <v>2129</v>
      </c>
      <c r="D3497" t="s">
        <v>21</v>
      </c>
      <c r="E3497" t="s">
        <v>26</v>
      </c>
      <c r="F3497" t="s">
        <v>17</v>
      </c>
      <c r="G3497" t="str">
        <f>"10"</f>
        <v>10</v>
      </c>
      <c r="H3497" t="str">
        <f>"0  "</f>
        <v xml:space="preserve">0  </v>
      </c>
      <c r="I3497" t="str">
        <f>"2020/09/22"</f>
        <v>2020/09/22</v>
      </c>
      <c r="J3497" t="str">
        <f>"420"</f>
        <v>420</v>
      </c>
      <c r="K3497" t="s">
        <v>18</v>
      </c>
      <c r="L3497" t="s">
        <v>18</v>
      </c>
      <c r="M3497" t="s">
        <v>18</v>
      </c>
    </row>
    <row r="3498" spans="1:13" x14ac:dyDescent="0.25">
      <c r="A3498" t="str">
        <f>"00835797"</f>
        <v>00835797</v>
      </c>
      <c r="B3498" t="s">
        <v>2122</v>
      </c>
      <c r="C3498" t="s">
        <v>2130</v>
      </c>
      <c r="D3498" t="s">
        <v>25</v>
      </c>
      <c r="E3498" t="s">
        <v>26</v>
      </c>
      <c r="F3498" t="s">
        <v>17</v>
      </c>
      <c r="G3498" t="str">
        <f>"10"</f>
        <v>10</v>
      </c>
      <c r="H3498" t="str">
        <f>"3  "</f>
        <v xml:space="preserve">3  </v>
      </c>
      <c r="I3498" t="str">
        <f>"2018/07/13"</f>
        <v>2018/07/13</v>
      </c>
      <c r="J3498" t="str">
        <f>"110"</f>
        <v>110</v>
      </c>
      <c r="K3498" t="str">
        <f>"20211004"</f>
        <v>20211004</v>
      </c>
      <c r="L3498" t="s">
        <v>18</v>
      </c>
      <c r="M3498" t="str">
        <f>"20170627"</f>
        <v>20170627</v>
      </c>
    </row>
    <row r="3499" spans="1:13" x14ac:dyDescent="0.25">
      <c r="A3499" t="str">
        <f>"00457356"</f>
        <v>00457356</v>
      </c>
      <c r="B3499" t="s">
        <v>2122</v>
      </c>
      <c r="C3499" t="s">
        <v>333</v>
      </c>
      <c r="D3499" t="s">
        <v>47</v>
      </c>
      <c r="E3499" t="s">
        <v>26</v>
      </c>
      <c r="F3499" t="s">
        <v>17</v>
      </c>
      <c r="G3499" t="str">
        <f>"10"</f>
        <v>10</v>
      </c>
      <c r="H3499" t="str">
        <f>"3  "</f>
        <v xml:space="preserve">3  </v>
      </c>
      <c r="I3499" t="str">
        <f>"2019/10/14"</f>
        <v>2019/10/14</v>
      </c>
      <c r="J3499" t="str">
        <f>"502"</f>
        <v>502</v>
      </c>
      <c r="K3499" t="str">
        <f>"20201127"</f>
        <v>20201127</v>
      </c>
      <c r="L3499" t="s">
        <v>18</v>
      </c>
      <c r="M3499" t="str">
        <f>"20111214"</f>
        <v>20111214</v>
      </c>
    </row>
    <row r="3500" spans="1:13" x14ac:dyDescent="0.25">
      <c r="A3500" t="str">
        <f>"00215070"</f>
        <v>00215070</v>
      </c>
      <c r="B3500" t="s">
        <v>2122</v>
      </c>
      <c r="C3500" t="s">
        <v>213</v>
      </c>
      <c r="D3500" t="s">
        <v>21</v>
      </c>
      <c r="E3500" t="s">
        <v>26</v>
      </c>
      <c r="F3500" t="s">
        <v>17</v>
      </c>
      <c r="G3500" t="str">
        <f>"10"</f>
        <v>10</v>
      </c>
      <c r="H3500" t="str">
        <f>"0  "</f>
        <v xml:space="preserve">0  </v>
      </c>
      <c r="I3500" t="str">
        <f>"2020/01/30"</f>
        <v>2020/01/30</v>
      </c>
      <c r="J3500" t="str">
        <f>"420"</f>
        <v>420</v>
      </c>
      <c r="K3500" t="s">
        <v>18</v>
      </c>
      <c r="L3500" t="s">
        <v>18</v>
      </c>
      <c r="M3500" t="s">
        <v>18</v>
      </c>
    </row>
    <row r="3501" spans="1:13" x14ac:dyDescent="0.25">
      <c r="A3501" t="str">
        <f>"00661380"</f>
        <v>00661380</v>
      </c>
      <c r="B3501" t="s">
        <v>2122</v>
      </c>
      <c r="C3501" t="s">
        <v>2136</v>
      </c>
      <c r="D3501" t="s">
        <v>25</v>
      </c>
      <c r="E3501" t="s">
        <v>26</v>
      </c>
      <c r="F3501" t="s">
        <v>17</v>
      </c>
      <c r="G3501" t="str">
        <f>"10"</f>
        <v>10</v>
      </c>
      <c r="H3501" t="str">
        <f>"3  "</f>
        <v xml:space="preserve">3  </v>
      </c>
      <c r="I3501" t="str">
        <f>"2018/07/11"</f>
        <v>2018/07/11</v>
      </c>
      <c r="J3501" t="str">
        <f>"503"</f>
        <v>503</v>
      </c>
      <c r="K3501" t="str">
        <f>"20230727"</f>
        <v>20230727</v>
      </c>
      <c r="L3501" t="s">
        <v>18</v>
      </c>
      <c r="M3501" t="str">
        <f>"20130806"</f>
        <v>20130806</v>
      </c>
    </row>
    <row r="3502" spans="1:13" x14ac:dyDescent="0.25">
      <c r="A3502" t="str">
        <f>"00805809"</f>
        <v>00805809</v>
      </c>
      <c r="B3502" t="s">
        <v>2122</v>
      </c>
      <c r="C3502" t="s">
        <v>648</v>
      </c>
      <c r="D3502" t="s">
        <v>25</v>
      </c>
      <c r="E3502" t="s">
        <v>26</v>
      </c>
      <c r="F3502" t="s">
        <v>17</v>
      </c>
      <c r="G3502" t="str">
        <f>"10"</f>
        <v>10</v>
      </c>
      <c r="H3502" t="str">
        <f>"0  "</f>
        <v xml:space="preserve">0  </v>
      </c>
      <c r="I3502" t="str">
        <f>"2020/04/20"</f>
        <v>2020/04/20</v>
      </c>
      <c r="J3502" t="str">
        <f>"420"</f>
        <v>420</v>
      </c>
      <c r="K3502" t="s">
        <v>18</v>
      </c>
      <c r="L3502" t="s">
        <v>18</v>
      </c>
      <c r="M3502" t="s">
        <v>18</v>
      </c>
    </row>
    <row r="3503" spans="1:13" x14ac:dyDescent="0.25">
      <c r="A3503" t="str">
        <f>"00717769"</f>
        <v>00717769</v>
      </c>
      <c r="B3503" t="s">
        <v>2122</v>
      </c>
      <c r="C3503" t="s">
        <v>939</v>
      </c>
      <c r="D3503" t="s">
        <v>40</v>
      </c>
      <c r="E3503" t="s">
        <v>26</v>
      </c>
      <c r="F3503" t="s">
        <v>17</v>
      </c>
      <c r="G3503" t="str">
        <f>"10"</f>
        <v>10</v>
      </c>
      <c r="H3503" t="str">
        <f>"0  "</f>
        <v xml:space="preserve">0  </v>
      </c>
      <c r="I3503" t="str">
        <f>"2020/02/02"</f>
        <v>2020/02/02</v>
      </c>
      <c r="J3503" t="str">
        <f>"420"</f>
        <v>420</v>
      </c>
      <c r="K3503" t="s">
        <v>18</v>
      </c>
      <c r="L3503" t="s">
        <v>18</v>
      </c>
      <c r="M3503" t="s">
        <v>18</v>
      </c>
    </row>
    <row r="3504" spans="1:13" x14ac:dyDescent="0.25">
      <c r="A3504" t="str">
        <f>"00313954"</f>
        <v>00313954</v>
      </c>
      <c r="B3504" t="s">
        <v>2122</v>
      </c>
      <c r="C3504" t="s">
        <v>1669</v>
      </c>
      <c r="D3504" t="s">
        <v>51</v>
      </c>
      <c r="E3504" t="s">
        <v>26</v>
      </c>
      <c r="F3504" t="s">
        <v>17</v>
      </c>
      <c r="G3504" t="str">
        <f>"10"</f>
        <v>10</v>
      </c>
      <c r="H3504" t="str">
        <f>"0  "</f>
        <v xml:space="preserve">0  </v>
      </c>
      <c r="I3504" t="str">
        <f>"2020/08/26"</f>
        <v>2020/08/26</v>
      </c>
      <c r="J3504" t="str">
        <f>"420"</f>
        <v>420</v>
      </c>
      <c r="K3504" t="s">
        <v>18</v>
      </c>
      <c r="L3504" t="s">
        <v>18</v>
      </c>
      <c r="M3504" t="s">
        <v>18</v>
      </c>
    </row>
    <row r="3505" spans="1:13" x14ac:dyDescent="0.25">
      <c r="A3505" t="str">
        <f>"00284858"</f>
        <v>00284858</v>
      </c>
      <c r="B3505" t="s">
        <v>2122</v>
      </c>
      <c r="C3505" t="s">
        <v>1160</v>
      </c>
      <c r="D3505" t="s">
        <v>51</v>
      </c>
      <c r="E3505" t="s">
        <v>26</v>
      </c>
      <c r="F3505" t="s">
        <v>17</v>
      </c>
      <c r="G3505" t="str">
        <f>"10"</f>
        <v>10</v>
      </c>
      <c r="H3505" t="str">
        <f>"1  "</f>
        <v xml:space="preserve">1  </v>
      </c>
      <c r="I3505" t="str">
        <f>"2020/09/15"</f>
        <v>2020/09/15</v>
      </c>
      <c r="J3505" t="str">
        <f>"120"</f>
        <v>120</v>
      </c>
      <c r="K3505" t="str">
        <f>"20210219"</f>
        <v>20210219</v>
      </c>
      <c r="L3505" t="s">
        <v>18</v>
      </c>
      <c r="M3505" t="str">
        <f>"20200807"</f>
        <v>20200807</v>
      </c>
    </row>
    <row r="3506" spans="1:13" x14ac:dyDescent="0.25">
      <c r="A3506" t="str">
        <f>"00221892"</f>
        <v>00221892</v>
      </c>
      <c r="B3506" t="s">
        <v>2122</v>
      </c>
      <c r="C3506" t="s">
        <v>169</v>
      </c>
      <c r="D3506" t="s">
        <v>47</v>
      </c>
      <c r="E3506" t="s">
        <v>16</v>
      </c>
      <c r="F3506" t="s">
        <v>17</v>
      </c>
      <c r="G3506" t="str">
        <f>"10"</f>
        <v>10</v>
      </c>
      <c r="H3506" t="str">
        <f>"0  "</f>
        <v xml:space="preserve">0  </v>
      </c>
      <c r="I3506" t="str">
        <f>"2020/06/11"</f>
        <v>2020/06/11</v>
      </c>
      <c r="J3506" t="str">
        <f>"420"</f>
        <v>420</v>
      </c>
      <c r="K3506" t="s">
        <v>18</v>
      </c>
      <c r="L3506" t="s">
        <v>18</v>
      </c>
      <c r="M3506" t="s">
        <v>18</v>
      </c>
    </row>
    <row r="3507" spans="1:13" x14ac:dyDescent="0.25">
      <c r="A3507" t="str">
        <f>"00744747"</f>
        <v>00744747</v>
      </c>
      <c r="B3507" t="s">
        <v>2144</v>
      </c>
      <c r="C3507" t="s">
        <v>2145</v>
      </c>
      <c r="D3507" t="s">
        <v>80</v>
      </c>
      <c r="E3507" t="s">
        <v>26</v>
      </c>
      <c r="F3507" t="s">
        <v>17</v>
      </c>
      <c r="G3507" t="str">
        <f>"10"</f>
        <v>10</v>
      </c>
      <c r="H3507" t="str">
        <f>"1  "</f>
        <v xml:space="preserve">1  </v>
      </c>
      <c r="I3507" t="str">
        <f>"2020/08/04"</f>
        <v>2020/08/04</v>
      </c>
      <c r="J3507" t="str">
        <f>"120"</f>
        <v>120</v>
      </c>
      <c r="K3507" t="str">
        <f>"20210109"</f>
        <v>20210109</v>
      </c>
      <c r="L3507" t="s">
        <v>18</v>
      </c>
      <c r="M3507" t="str">
        <f>"20200722"</f>
        <v>20200722</v>
      </c>
    </row>
    <row r="3508" spans="1:13" x14ac:dyDescent="0.25">
      <c r="A3508" t="str">
        <f>"00264375"</f>
        <v>00264375</v>
      </c>
      <c r="B3508" t="s">
        <v>2150</v>
      </c>
      <c r="C3508" t="s">
        <v>499</v>
      </c>
      <c r="D3508" t="s">
        <v>25</v>
      </c>
      <c r="E3508" t="s">
        <v>26</v>
      </c>
      <c r="F3508" t="s">
        <v>17</v>
      </c>
      <c r="G3508" t="str">
        <f>"10"</f>
        <v>10</v>
      </c>
      <c r="H3508" t="str">
        <f>"0  "</f>
        <v xml:space="preserve">0  </v>
      </c>
      <c r="I3508" t="str">
        <f>"2019/06/12"</f>
        <v>2019/06/12</v>
      </c>
      <c r="J3508" t="str">
        <f>"420"</f>
        <v>420</v>
      </c>
      <c r="K3508" t="s">
        <v>18</v>
      </c>
      <c r="L3508" t="s">
        <v>18</v>
      </c>
      <c r="M3508" t="s">
        <v>18</v>
      </c>
    </row>
    <row r="3509" spans="1:13" x14ac:dyDescent="0.25">
      <c r="A3509" t="str">
        <f>"00600587"</f>
        <v>00600587</v>
      </c>
      <c r="B3509" t="s">
        <v>2152</v>
      </c>
      <c r="C3509" t="s">
        <v>2153</v>
      </c>
      <c r="D3509" t="s">
        <v>215</v>
      </c>
      <c r="E3509" t="s">
        <v>16</v>
      </c>
      <c r="F3509" t="s">
        <v>17</v>
      </c>
      <c r="G3509" t="str">
        <f>"10"</f>
        <v>10</v>
      </c>
      <c r="H3509" t="str">
        <f>"3  "</f>
        <v xml:space="preserve">3  </v>
      </c>
      <c r="I3509" t="str">
        <f>"2015/09/10"</f>
        <v>2015/09/10</v>
      </c>
      <c r="J3509" t="str">
        <f>"110"</f>
        <v>110</v>
      </c>
      <c r="K3509" t="str">
        <f>"20230403"</f>
        <v>20230403</v>
      </c>
      <c r="L3509" t="s">
        <v>18</v>
      </c>
      <c r="M3509" t="str">
        <f>"20141008"</f>
        <v>20141008</v>
      </c>
    </row>
    <row r="3510" spans="1:13" x14ac:dyDescent="0.25">
      <c r="A3510" t="str">
        <f>"00774653"</f>
        <v>00774653</v>
      </c>
      <c r="B3510" t="s">
        <v>2152</v>
      </c>
      <c r="C3510" t="s">
        <v>1189</v>
      </c>
      <c r="D3510" t="s">
        <v>25</v>
      </c>
      <c r="E3510" t="s">
        <v>26</v>
      </c>
      <c r="F3510" t="s">
        <v>17</v>
      </c>
      <c r="G3510" t="str">
        <f>"10"</f>
        <v>10</v>
      </c>
      <c r="H3510" t="str">
        <f>"3  "</f>
        <v xml:space="preserve">3  </v>
      </c>
      <c r="I3510" t="str">
        <f>"2020/07/09"</f>
        <v>2020/07/09</v>
      </c>
      <c r="J3510" t="str">
        <f>"110"</f>
        <v>110</v>
      </c>
      <c r="K3510" t="str">
        <f>"20220902"</f>
        <v>20220902</v>
      </c>
      <c r="L3510" t="s">
        <v>18</v>
      </c>
      <c r="M3510" t="str">
        <f>"20190129"</f>
        <v>20190129</v>
      </c>
    </row>
    <row r="3511" spans="1:13" x14ac:dyDescent="0.25">
      <c r="A3511" t="str">
        <f>"00840284"</f>
        <v>00840284</v>
      </c>
      <c r="B3511" t="s">
        <v>2154</v>
      </c>
      <c r="C3511" t="s">
        <v>2155</v>
      </c>
      <c r="D3511" t="s">
        <v>25</v>
      </c>
      <c r="E3511" t="s">
        <v>16</v>
      </c>
      <c r="F3511" t="s">
        <v>17</v>
      </c>
      <c r="G3511" t="str">
        <f>"10"</f>
        <v>10</v>
      </c>
      <c r="H3511" t="str">
        <f>"0  "</f>
        <v xml:space="preserve">0  </v>
      </c>
      <c r="I3511" t="str">
        <f>"2020/08/06"</f>
        <v>2020/08/06</v>
      </c>
      <c r="J3511" t="str">
        <f>"420"</f>
        <v>420</v>
      </c>
      <c r="K3511" t="s">
        <v>18</v>
      </c>
      <c r="L3511" t="s">
        <v>18</v>
      </c>
      <c r="M3511" t="s">
        <v>18</v>
      </c>
    </row>
    <row r="3512" spans="1:13" x14ac:dyDescent="0.25">
      <c r="A3512" t="str">
        <f>"00483974"</f>
        <v>00483974</v>
      </c>
      <c r="B3512" t="s">
        <v>2156</v>
      </c>
      <c r="C3512" t="s">
        <v>2157</v>
      </c>
      <c r="D3512" t="s">
        <v>25</v>
      </c>
      <c r="E3512" t="s">
        <v>16</v>
      </c>
      <c r="F3512" t="s">
        <v>17</v>
      </c>
      <c r="G3512" t="str">
        <f>"10"</f>
        <v>10</v>
      </c>
      <c r="H3512" t="str">
        <f>"0  "</f>
        <v xml:space="preserve">0  </v>
      </c>
      <c r="I3512" t="str">
        <f>"2020/05/11"</f>
        <v>2020/05/11</v>
      </c>
      <c r="J3512" t="str">
        <f>"420"</f>
        <v>420</v>
      </c>
      <c r="K3512" t="s">
        <v>18</v>
      </c>
      <c r="L3512" t="s">
        <v>18</v>
      </c>
      <c r="M3512" t="s">
        <v>18</v>
      </c>
    </row>
    <row r="3513" spans="1:13" x14ac:dyDescent="0.25">
      <c r="A3513" t="str">
        <f>"00768665"</f>
        <v>00768665</v>
      </c>
      <c r="B3513" t="s">
        <v>2158</v>
      </c>
      <c r="C3513" t="s">
        <v>2159</v>
      </c>
      <c r="D3513" t="s">
        <v>25</v>
      </c>
      <c r="E3513" t="s">
        <v>26</v>
      </c>
      <c r="F3513" t="s">
        <v>17</v>
      </c>
      <c r="G3513" t="str">
        <f>"10"</f>
        <v>10</v>
      </c>
      <c r="H3513" t="str">
        <f>"3  "</f>
        <v xml:space="preserve">3  </v>
      </c>
      <c r="I3513" t="str">
        <f>"2015/04/18"</f>
        <v>2015/04/18</v>
      </c>
      <c r="J3513" t="str">
        <f>"110"</f>
        <v>110</v>
      </c>
      <c r="K3513" t="str">
        <f>"20210107"</f>
        <v>20210107</v>
      </c>
      <c r="L3513" t="s">
        <v>18</v>
      </c>
      <c r="M3513" t="str">
        <f>"20140523"</f>
        <v>20140523</v>
      </c>
    </row>
    <row r="3514" spans="1:13" x14ac:dyDescent="0.25">
      <c r="A3514" t="str">
        <f>"00315036"</f>
        <v>00315036</v>
      </c>
      <c r="B3514" t="s">
        <v>2181</v>
      </c>
      <c r="C3514" t="s">
        <v>1028</v>
      </c>
      <c r="D3514" t="s">
        <v>142</v>
      </c>
      <c r="E3514" t="s">
        <v>26</v>
      </c>
      <c r="F3514" t="s">
        <v>17</v>
      </c>
      <c r="G3514" t="str">
        <f>"10"</f>
        <v>10</v>
      </c>
      <c r="H3514" t="str">
        <f>"3  "</f>
        <v xml:space="preserve">3  </v>
      </c>
      <c r="I3514" t="str">
        <f>"2019/11/01"</f>
        <v>2019/11/01</v>
      </c>
      <c r="J3514" t="str">
        <f>"110"</f>
        <v>110</v>
      </c>
      <c r="K3514" t="str">
        <f>"20220617"</f>
        <v>20220617</v>
      </c>
      <c r="L3514" t="s">
        <v>18</v>
      </c>
      <c r="M3514" t="str">
        <f>"20191011"</f>
        <v>20191011</v>
      </c>
    </row>
    <row r="3515" spans="1:13" x14ac:dyDescent="0.25">
      <c r="A3515" t="str">
        <f>"00471668"</f>
        <v>00471668</v>
      </c>
      <c r="B3515" t="s">
        <v>2181</v>
      </c>
      <c r="C3515" t="s">
        <v>176</v>
      </c>
      <c r="D3515" t="s">
        <v>16</v>
      </c>
      <c r="E3515" t="s">
        <v>16</v>
      </c>
      <c r="F3515" t="s">
        <v>17</v>
      </c>
      <c r="G3515" t="str">
        <f>"10"</f>
        <v>10</v>
      </c>
      <c r="H3515" t="str">
        <f>"3  "</f>
        <v xml:space="preserve">3  </v>
      </c>
      <c r="I3515" t="str">
        <f>"2020/07/27"</f>
        <v>2020/07/27</v>
      </c>
      <c r="J3515" t="str">
        <f>"110"</f>
        <v>110</v>
      </c>
      <c r="K3515" t="str">
        <f>"20260613"</f>
        <v>20260613</v>
      </c>
      <c r="L3515" t="s">
        <v>18</v>
      </c>
      <c r="M3515" t="str">
        <f>"20200727"</f>
        <v>20200727</v>
      </c>
    </row>
    <row r="3516" spans="1:13" x14ac:dyDescent="0.25">
      <c r="A3516" t="str">
        <f>"00571812"</f>
        <v>00571812</v>
      </c>
      <c r="B3516" t="s">
        <v>2188</v>
      </c>
      <c r="C3516" t="s">
        <v>14</v>
      </c>
      <c r="D3516" t="s">
        <v>51</v>
      </c>
      <c r="E3516" t="s">
        <v>26</v>
      </c>
      <c r="F3516" t="s">
        <v>17</v>
      </c>
      <c r="G3516" t="str">
        <f>"10"</f>
        <v>10</v>
      </c>
      <c r="H3516" t="str">
        <f>"3  "</f>
        <v xml:space="preserve">3  </v>
      </c>
      <c r="I3516" t="str">
        <f>"2015/12/21"</f>
        <v>2015/12/21</v>
      </c>
      <c r="J3516" t="str">
        <f>"110"</f>
        <v>110</v>
      </c>
      <c r="K3516" t="str">
        <f>"20220104"</f>
        <v>20220104</v>
      </c>
      <c r="L3516" t="s">
        <v>18</v>
      </c>
      <c r="M3516" t="str">
        <f>"20140814"</f>
        <v>20140814</v>
      </c>
    </row>
    <row r="3517" spans="1:13" x14ac:dyDescent="0.25">
      <c r="A3517" t="str">
        <f>"00418641"</f>
        <v>00418641</v>
      </c>
      <c r="B3517" t="s">
        <v>2188</v>
      </c>
      <c r="C3517" t="s">
        <v>1207</v>
      </c>
      <c r="D3517" t="s">
        <v>15</v>
      </c>
      <c r="E3517" t="s">
        <v>26</v>
      </c>
      <c r="F3517" t="s">
        <v>17</v>
      </c>
      <c r="G3517" t="str">
        <f>"10"</f>
        <v>10</v>
      </c>
      <c r="H3517" t="str">
        <f>"0  "</f>
        <v xml:space="preserve">0  </v>
      </c>
      <c r="I3517" t="str">
        <f>"2020/09/20"</f>
        <v>2020/09/20</v>
      </c>
      <c r="J3517" t="str">
        <f>"420"</f>
        <v>420</v>
      </c>
      <c r="K3517" t="s">
        <v>18</v>
      </c>
      <c r="L3517" t="s">
        <v>18</v>
      </c>
      <c r="M3517" t="s">
        <v>18</v>
      </c>
    </row>
    <row r="3518" spans="1:13" x14ac:dyDescent="0.25">
      <c r="A3518" t="str">
        <f>"00616983"</f>
        <v>00616983</v>
      </c>
      <c r="B3518" t="s">
        <v>2188</v>
      </c>
      <c r="C3518" t="s">
        <v>2189</v>
      </c>
      <c r="D3518" t="s">
        <v>25</v>
      </c>
      <c r="E3518" t="s">
        <v>26</v>
      </c>
      <c r="F3518" t="s">
        <v>17</v>
      </c>
      <c r="G3518" t="str">
        <f>"10"</f>
        <v>10</v>
      </c>
      <c r="H3518" t="str">
        <f>"3  "</f>
        <v xml:space="preserve">3  </v>
      </c>
      <c r="I3518" t="str">
        <f>"2017/04/24"</f>
        <v>2017/04/24</v>
      </c>
      <c r="J3518" t="str">
        <f>"110"</f>
        <v>110</v>
      </c>
      <c r="K3518" t="str">
        <f>"20211031"</f>
        <v>20211031</v>
      </c>
      <c r="L3518" t="s">
        <v>18</v>
      </c>
      <c r="M3518" t="str">
        <f>"20160911"</f>
        <v>20160911</v>
      </c>
    </row>
    <row r="3519" spans="1:13" x14ac:dyDescent="0.25">
      <c r="A3519" t="str">
        <f>"00746136"</f>
        <v>00746136</v>
      </c>
      <c r="B3519" t="s">
        <v>2191</v>
      </c>
      <c r="C3519" t="s">
        <v>1590</v>
      </c>
      <c r="D3519" t="s">
        <v>25</v>
      </c>
      <c r="E3519" t="s">
        <v>16</v>
      </c>
      <c r="F3519" t="s">
        <v>17</v>
      </c>
      <c r="G3519" t="str">
        <f>"10"</f>
        <v>10</v>
      </c>
      <c r="H3519" t="str">
        <f>"3  "</f>
        <v xml:space="preserve">3  </v>
      </c>
      <c r="I3519" t="str">
        <f>"2020/08/17"</f>
        <v>2020/08/17</v>
      </c>
      <c r="J3519" t="str">
        <f>"110"</f>
        <v>110</v>
      </c>
      <c r="K3519" t="str">
        <f>"20440318"</f>
        <v>20440318</v>
      </c>
      <c r="L3519" t="s">
        <v>18</v>
      </c>
      <c r="M3519" t="str">
        <f>"20180117"</f>
        <v>20180117</v>
      </c>
    </row>
    <row r="3520" spans="1:13" x14ac:dyDescent="0.25">
      <c r="A3520" t="str">
        <f>"00521502"</f>
        <v>00521502</v>
      </c>
      <c r="B3520" t="s">
        <v>2191</v>
      </c>
      <c r="C3520" t="s">
        <v>22</v>
      </c>
      <c r="D3520" t="s">
        <v>40</v>
      </c>
      <c r="E3520" t="s">
        <v>16</v>
      </c>
      <c r="F3520" t="s">
        <v>17</v>
      </c>
      <c r="G3520" t="str">
        <f>"10"</f>
        <v>10</v>
      </c>
      <c r="H3520" t="str">
        <f>"1  "</f>
        <v xml:space="preserve">1  </v>
      </c>
      <c r="I3520" t="str">
        <f>"2020/09/22"</f>
        <v>2020/09/22</v>
      </c>
      <c r="J3520" t="str">
        <f>"110"</f>
        <v>110</v>
      </c>
      <c r="K3520" t="str">
        <f>"20210102"</f>
        <v>20210102</v>
      </c>
      <c r="L3520" t="s">
        <v>18</v>
      </c>
      <c r="M3520" t="str">
        <f>"20200421"</f>
        <v>20200421</v>
      </c>
    </row>
    <row r="3521" spans="1:13" x14ac:dyDescent="0.25">
      <c r="A3521" t="str">
        <f>"00316083"</f>
        <v>00316083</v>
      </c>
      <c r="B3521" t="s">
        <v>2192</v>
      </c>
      <c r="C3521" t="s">
        <v>353</v>
      </c>
      <c r="D3521" t="s">
        <v>21</v>
      </c>
      <c r="E3521" t="s">
        <v>16</v>
      </c>
      <c r="F3521" t="s">
        <v>17</v>
      </c>
      <c r="G3521" t="str">
        <f>"10"</f>
        <v>10</v>
      </c>
      <c r="H3521" t="str">
        <f>"1  "</f>
        <v xml:space="preserve">1  </v>
      </c>
      <c r="I3521" t="str">
        <f>"2020/05/19"</f>
        <v>2020/05/19</v>
      </c>
      <c r="J3521" t="str">
        <f>"110"</f>
        <v>110</v>
      </c>
      <c r="K3521" t="str">
        <f>"20210118"</f>
        <v>20210118</v>
      </c>
      <c r="L3521" t="s">
        <v>18</v>
      </c>
      <c r="M3521" t="str">
        <f>"20200506"</f>
        <v>20200506</v>
      </c>
    </row>
    <row r="3522" spans="1:13" x14ac:dyDescent="0.25">
      <c r="A3522" t="str">
        <f>"00739386"</f>
        <v>00739386</v>
      </c>
      <c r="B3522" t="s">
        <v>2194</v>
      </c>
      <c r="C3522" t="s">
        <v>169</v>
      </c>
      <c r="D3522" t="s">
        <v>15</v>
      </c>
      <c r="E3522" t="s">
        <v>16</v>
      </c>
      <c r="F3522" t="s">
        <v>17</v>
      </c>
      <c r="G3522" t="str">
        <f>"10"</f>
        <v>10</v>
      </c>
      <c r="H3522" t="str">
        <f>"3  "</f>
        <v xml:space="preserve">3  </v>
      </c>
      <c r="I3522" t="str">
        <f>"2020/03/02"</f>
        <v>2020/03/02</v>
      </c>
      <c r="J3522" t="str">
        <f>"110"</f>
        <v>110</v>
      </c>
      <c r="K3522" t="str">
        <f>"20211010"</f>
        <v>20211010</v>
      </c>
      <c r="L3522" t="s">
        <v>18</v>
      </c>
      <c r="M3522" t="str">
        <f>"20191219"</f>
        <v>20191219</v>
      </c>
    </row>
    <row r="3523" spans="1:13" x14ac:dyDescent="0.25">
      <c r="A3523" t="str">
        <f>"00772831"</f>
        <v>00772831</v>
      </c>
      <c r="B3523" t="s">
        <v>2195</v>
      </c>
      <c r="C3523" t="s">
        <v>354</v>
      </c>
      <c r="D3523" t="s">
        <v>25</v>
      </c>
      <c r="E3523" t="s">
        <v>26</v>
      </c>
      <c r="F3523" t="s">
        <v>17</v>
      </c>
      <c r="G3523" t="str">
        <f>"10"</f>
        <v>10</v>
      </c>
      <c r="H3523" t="str">
        <f>"0  "</f>
        <v xml:space="preserve">0  </v>
      </c>
      <c r="I3523" t="str">
        <f>"2020/09/07"</f>
        <v>2020/09/07</v>
      </c>
      <c r="J3523" t="str">
        <f>"420"</f>
        <v>420</v>
      </c>
      <c r="K3523" t="s">
        <v>18</v>
      </c>
      <c r="L3523" t="s">
        <v>18</v>
      </c>
      <c r="M3523" t="s">
        <v>18</v>
      </c>
    </row>
    <row r="3524" spans="1:13" x14ac:dyDescent="0.25">
      <c r="A3524" t="str">
        <f>"00803991"</f>
        <v>00803991</v>
      </c>
      <c r="B3524" t="s">
        <v>2195</v>
      </c>
      <c r="C3524" t="s">
        <v>714</v>
      </c>
      <c r="D3524" t="s">
        <v>25</v>
      </c>
      <c r="E3524" t="s">
        <v>26</v>
      </c>
      <c r="F3524" t="s">
        <v>17</v>
      </c>
      <c r="G3524" t="str">
        <f>"10"</f>
        <v>10</v>
      </c>
      <c r="H3524" t="str">
        <f>"0  "</f>
        <v xml:space="preserve">0  </v>
      </c>
      <c r="I3524" t="str">
        <f>"2020/06/12"</f>
        <v>2020/06/12</v>
      </c>
      <c r="J3524" t="str">
        <f>"420"</f>
        <v>420</v>
      </c>
      <c r="K3524" t="s">
        <v>18</v>
      </c>
      <c r="L3524" t="s">
        <v>18</v>
      </c>
      <c r="M3524" t="s">
        <v>18</v>
      </c>
    </row>
    <row r="3525" spans="1:13" x14ac:dyDescent="0.25">
      <c r="A3525" t="str">
        <f>"00819072"</f>
        <v>00819072</v>
      </c>
      <c r="B3525" t="s">
        <v>2198</v>
      </c>
      <c r="C3525" t="s">
        <v>2199</v>
      </c>
      <c r="D3525" t="s">
        <v>25</v>
      </c>
      <c r="E3525" t="s">
        <v>26</v>
      </c>
      <c r="F3525" t="s">
        <v>17</v>
      </c>
      <c r="G3525" t="str">
        <f>"10"</f>
        <v>10</v>
      </c>
      <c r="H3525" t="str">
        <f>"0  "</f>
        <v xml:space="preserve">0  </v>
      </c>
      <c r="I3525" t="str">
        <f>"2020/08/27"</f>
        <v>2020/08/27</v>
      </c>
      <c r="J3525" t="str">
        <f>"420"</f>
        <v>420</v>
      </c>
      <c r="K3525" t="s">
        <v>18</v>
      </c>
      <c r="L3525" t="s">
        <v>18</v>
      </c>
      <c r="M3525" t="s">
        <v>18</v>
      </c>
    </row>
    <row r="3526" spans="1:13" x14ac:dyDescent="0.25">
      <c r="A3526" t="str">
        <f>"00875867"</f>
        <v>00875867</v>
      </c>
      <c r="B3526" t="s">
        <v>2202</v>
      </c>
      <c r="C3526" t="s">
        <v>2203</v>
      </c>
      <c r="D3526" t="s">
        <v>53</v>
      </c>
      <c r="E3526" t="s">
        <v>16</v>
      </c>
      <c r="F3526" t="s">
        <v>17</v>
      </c>
      <c r="G3526" t="str">
        <f>"10"</f>
        <v>10</v>
      </c>
      <c r="H3526" t="str">
        <f>"0  "</f>
        <v xml:space="preserve">0  </v>
      </c>
      <c r="I3526" t="str">
        <f>"2018/12/05"</f>
        <v>2018/12/05</v>
      </c>
      <c r="J3526" t="str">
        <f>"420"</f>
        <v>420</v>
      </c>
      <c r="K3526" t="s">
        <v>18</v>
      </c>
      <c r="L3526" t="s">
        <v>18</v>
      </c>
      <c r="M3526" t="s">
        <v>18</v>
      </c>
    </row>
    <row r="3527" spans="1:13" x14ac:dyDescent="0.25">
      <c r="A3527" t="str">
        <f>"00198178"</f>
        <v>00198178</v>
      </c>
      <c r="B3527" t="s">
        <v>2205</v>
      </c>
      <c r="C3527" t="s">
        <v>385</v>
      </c>
      <c r="D3527" t="s">
        <v>53</v>
      </c>
      <c r="E3527" t="s">
        <v>26</v>
      </c>
      <c r="F3527" t="s">
        <v>17</v>
      </c>
      <c r="G3527" t="str">
        <f>"10"</f>
        <v>10</v>
      </c>
      <c r="H3527" t="str">
        <f>"3  "</f>
        <v xml:space="preserve">3  </v>
      </c>
      <c r="I3527" t="str">
        <f>"2019/10/29"</f>
        <v>2019/10/29</v>
      </c>
      <c r="J3527" t="str">
        <f>"110"</f>
        <v>110</v>
      </c>
      <c r="K3527" t="str">
        <f>"20220128"</f>
        <v>20220128</v>
      </c>
      <c r="L3527" t="s">
        <v>18</v>
      </c>
      <c r="M3527" t="str">
        <f>"20190625"</f>
        <v>20190625</v>
      </c>
    </row>
    <row r="3528" spans="1:13" x14ac:dyDescent="0.25">
      <c r="A3528" t="str">
        <f>"00474763"</f>
        <v>00474763</v>
      </c>
      <c r="B3528" t="s">
        <v>2205</v>
      </c>
      <c r="C3528" t="s">
        <v>248</v>
      </c>
      <c r="D3528" t="s">
        <v>25</v>
      </c>
      <c r="E3528" t="s">
        <v>26</v>
      </c>
      <c r="F3528" t="s">
        <v>17</v>
      </c>
      <c r="G3528" t="str">
        <f>"10"</f>
        <v>10</v>
      </c>
      <c r="H3528" t="str">
        <f>"0  "</f>
        <v xml:space="preserve">0  </v>
      </c>
      <c r="I3528" t="str">
        <f>"2019/12/11"</f>
        <v>2019/12/11</v>
      </c>
      <c r="J3528" t="str">
        <f>"420"</f>
        <v>420</v>
      </c>
      <c r="K3528" t="s">
        <v>18</v>
      </c>
      <c r="L3528" t="s">
        <v>18</v>
      </c>
      <c r="M3528" t="s">
        <v>18</v>
      </c>
    </row>
    <row r="3529" spans="1:13" x14ac:dyDescent="0.25">
      <c r="A3529" t="str">
        <f>"00434854"</f>
        <v>00434854</v>
      </c>
      <c r="B3529" t="s">
        <v>2205</v>
      </c>
      <c r="C3529" t="s">
        <v>2207</v>
      </c>
      <c r="D3529" t="s">
        <v>80</v>
      </c>
      <c r="E3529" t="s">
        <v>16</v>
      </c>
      <c r="F3529" t="s">
        <v>17</v>
      </c>
      <c r="G3529" t="str">
        <f>"10"</f>
        <v>10</v>
      </c>
      <c r="H3529" t="str">
        <f>"3  "</f>
        <v xml:space="preserve">3  </v>
      </c>
      <c r="I3529" t="str">
        <f>"2020/09/16"</f>
        <v>2020/09/16</v>
      </c>
      <c r="J3529" t="str">
        <f>"502"</f>
        <v>502</v>
      </c>
      <c r="K3529" t="str">
        <f>"20220228"</f>
        <v>20220228</v>
      </c>
      <c r="L3529" t="s">
        <v>18</v>
      </c>
      <c r="M3529" t="str">
        <f>"20140328"</f>
        <v>20140328</v>
      </c>
    </row>
    <row r="3530" spans="1:13" x14ac:dyDescent="0.25">
      <c r="A3530" t="str">
        <f>"00909283"</f>
        <v>00909283</v>
      </c>
      <c r="B3530" t="s">
        <v>2221</v>
      </c>
      <c r="C3530" t="s">
        <v>547</v>
      </c>
      <c r="D3530" t="s">
        <v>121</v>
      </c>
      <c r="E3530" t="s">
        <v>16</v>
      </c>
      <c r="F3530" t="s">
        <v>17</v>
      </c>
      <c r="G3530" t="str">
        <f>"10"</f>
        <v>10</v>
      </c>
      <c r="H3530" t="str">
        <f>"1  "</f>
        <v xml:space="preserve">1  </v>
      </c>
      <c r="I3530" t="str">
        <f>"2020/07/24"</f>
        <v>2020/07/24</v>
      </c>
      <c r="J3530" t="str">
        <f>"110"</f>
        <v>110</v>
      </c>
      <c r="K3530" t="str">
        <f>"20201226"</f>
        <v>20201226</v>
      </c>
      <c r="L3530" t="s">
        <v>18</v>
      </c>
      <c r="M3530" t="str">
        <f>"20200708"</f>
        <v>20200708</v>
      </c>
    </row>
    <row r="3531" spans="1:13" x14ac:dyDescent="0.25">
      <c r="A3531" t="str">
        <f>"00446362"</f>
        <v>00446362</v>
      </c>
      <c r="B3531" t="s">
        <v>2224</v>
      </c>
      <c r="C3531" t="s">
        <v>2225</v>
      </c>
      <c r="D3531" t="s">
        <v>45</v>
      </c>
      <c r="E3531" t="s">
        <v>16</v>
      </c>
      <c r="F3531" t="s">
        <v>17</v>
      </c>
      <c r="G3531" t="str">
        <f>"10"</f>
        <v>10</v>
      </c>
      <c r="H3531" t="str">
        <f>"0  "</f>
        <v xml:space="preserve">0  </v>
      </c>
      <c r="I3531" t="str">
        <f>"2020/08/03"</f>
        <v>2020/08/03</v>
      </c>
      <c r="J3531" t="str">
        <f>"512"</f>
        <v>512</v>
      </c>
      <c r="K3531" t="s">
        <v>18</v>
      </c>
      <c r="L3531" t="s">
        <v>18</v>
      </c>
      <c r="M3531" t="s">
        <v>18</v>
      </c>
    </row>
    <row r="3532" spans="1:13" x14ac:dyDescent="0.25">
      <c r="A3532" t="str">
        <f>"00745407"</f>
        <v>00745407</v>
      </c>
      <c r="B3532" t="s">
        <v>2227</v>
      </c>
      <c r="C3532" t="s">
        <v>1609</v>
      </c>
      <c r="D3532" t="s">
        <v>51</v>
      </c>
      <c r="E3532" t="s">
        <v>26</v>
      </c>
      <c r="F3532" t="s">
        <v>17</v>
      </c>
      <c r="G3532" t="str">
        <f>"10"</f>
        <v>10</v>
      </c>
      <c r="H3532" t="str">
        <f>"0  "</f>
        <v xml:space="preserve">0  </v>
      </c>
      <c r="I3532" t="str">
        <f>"2020/08/16"</f>
        <v>2020/08/16</v>
      </c>
      <c r="J3532" t="str">
        <f>"420"</f>
        <v>420</v>
      </c>
      <c r="K3532" t="s">
        <v>18</v>
      </c>
      <c r="L3532" t="s">
        <v>18</v>
      </c>
      <c r="M3532" t="s">
        <v>18</v>
      </c>
    </row>
    <row r="3533" spans="1:13" x14ac:dyDescent="0.25">
      <c r="A3533" t="str">
        <f>"00720362"</f>
        <v>00720362</v>
      </c>
      <c r="B3533" t="s">
        <v>2232</v>
      </c>
      <c r="C3533" t="s">
        <v>2233</v>
      </c>
      <c r="D3533" t="s">
        <v>80</v>
      </c>
      <c r="E3533" t="s">
        <v>16</v>
      </c>
      <c r="F3533" t="s">
        <v>17</v>
      </c>
      <c r="G3533" t="str">
        <f>"10"</f>
        <v>10</v>
      </c>
      <c r="H3533" t="str">
        <f>"3  "</f>
        <v xml:space="preserve">3  </v>
      </c>
      <c r="I3533" t="str">
        <f>"2020/09/16"</f>
        <v>2020/09/16</v>
      </c>
      <c r="J3533" t="str">
        <f>"502"</f>
        <v>502</v>
      </c>
      <c r="K3533" t="str">
        <f>"20220212"</f>
        <v>20220212</v>
      </c>
      <c r="L3533" t="s">
        <v>18</v>
      </c>
      <c r="M3533" t="str">
        <f>"20180809"</f>
        <v>20180809</v>
      </c>
    </row>
    <row r="3534" spans="1:13" x14ac:dyDescent="0.25">
      <c r="A3534" t="str">
        <f>"00265219"</f>
        <v>00265219</v>
      </c>
      <c r="B3534" t="s">
        <v>2237</v>
      </c>
      <c r="C3534" t="s">
        <v>120</v>
      </c>
      <c r="D3534" t="s">
        <v>51</v>
      </c>
      <c r="E3534" t="s">
        <v>16</v>
      </c>
      <c r="F3534" t="s">
        <v>17</v>
      </c>
      <c r="G3534" t="str">
        <f>"10"</f>
        <v>10</v>
      </c>
      <c r="H3534" t="str">
        <f>"0  "</f>
        <v xml:space="preserve">0  </v>
      </c>
      <c r="I3534" t="str">
        <f>"2020/05/02"</f>
        <v>2020/05/02</v>
      </c>
      <c r="J3534" t="str">
        <f>"420"</f>
        <v>420</v>
      </c>
      <c r="K3534" t="s">
        <v>18</v>
      </c>
      <c r="L3534" t="s">
        <v>18</v>
      </c>
      <c r="M3534" t="s">
        <v>18</v>
      </c>
    </row>
    <row r="3535" spans="1:13" x14ac:dyDescent="0.25">
      <c r="A3535" t="str">
        <f>"00765442"</f>
        <v>00765442</v>
      </c>
      <c r="B3535" t="s">
        <v>2241</v>
      </c>
      <c r="C3535" t="s">
        <v>348</v>
      </c>
      <c r="D3535" t="s">
        <v>15</v>
      </c>
      <c r="E3535" t="s">
        <v>16</v>
      </c>
      <c r="F3535" t="s">
        <v>17</v>
      </c>
      <c r="G3535" t="str">
        <f>"10"</f>
        <v>10</v>
      </c>
      <c r="H3535" t="str">
        <f>"0  "</f>
        <v xml:space="preserve">0  </v>
      </c>
      <c r="I3535" t="str">
        <f>"2020/08/19"</f>
        <v>2020/08/19</v>
      </c>
      <c r="J3535" t="str">
        <f>"420"</f>
        <v>420</v>
      </c>
      <c r="K3535" t="s">
        <v>18</v>
      </c>
      <c r="L3535" t="s">
        <v>18</v>
      </c>
      <c r="M3535" t="s">
        <v>18</v>
      </c>
    </row>
    <row r="3536" spans="1:13" x14ac:dyDescent="0.25">
      <c r="A3536" t="str">
        <f>"00831925"</f>
        <v>00831925</v>
      </c>
      <c r="B3536" t="s">
        <v>2244</v>
      </c>
      <c r="C3536" t="s">
        <v>1208</v>
      </c>
      <c r="D3536" t="s">
        <v>15</v>
      </c>
      <c r="E3536" t="s">
        <v>26</v>
      </c>
      <c r="F3536" t="s">
        <v>17</v>
      </c>
      <c r="G3536" t="str">
        <f>"10"</f>
        <v>10</v>
      </c>
      <c r="H3536" t="str">
        <f>"3  "</f>
        <v xml:space="preserve">3  </v>
      </c>
      <c r="I3536" t="str">
        <f>"2020/07/11"</f>
        <v>2020/07/11</v>
      </c>
      <c r="J3536" t="str">
        <f>"110"</f>
        <v>110</v>
      </c>
      <c r="K3536" t="str">
        <f>"20220304"</f>
        <v>20220304</v>
      </c>
      <c r="L3536" t="s">
        <v>18</v>
      </c>
      <c r="M3536" t="str">
        <f>"20190707"</f>
        <v>20190707</v>
      </c>
    </row>
    <row r="3537" spans="1:13" x14ac:dyDescent="0.25">
      <c r="A3537" t="str">
        <f>"00308416"</f>
        <v>00308416</v>
      </c>
      <c r="B3537" t="s">
        <v>2248</v>
      </c>
      <c r="C3537" t="s">
        <v>2249</v>
      </c>
      <c r="D3537" t="s">
        <v>45</v>
      </c>
      <c r="E3537" t="s">
        <v>16</v>
      </c>
      <c r="F3537" t="s">
        <v>17</v>
      </c>
      <c r="G3537" t="str">
        <f>"10"</f>
        <v>10</v>
      </c>
      <c r="H3537" t="str">
        <f>"0  "</f>
        <v xml:space="preserve">0  </v>
      </c>
      <c r="I3537" t="str">
        <f>"2020/09/03"</f>
        <v>2020/09/03</v>
      </c>
      <c r="J3537" t="str">
        <f>"420"</f>
        <v>420</v>
      </c>
      <c r="K3537" t="s">
        <v>18</v>
      </c>
      <c r="L3537" t="s">
        <v>18</v>
      </c>
      <c r="M3537" t="s">
        <v>18</v>
      </c>
    </row>
    <row r="3538" spans="1:13" x14ac:dyDescent="0.25">
      <c r="A3538" t="str">
        <f>"00519504"</f>
        <v>00519504</v>
      </c>
      <c r="B3538" t="s">
        <v>2251</v>
      </c>
      <c r="C3538" t="s">
        <v>2252</v>
      </c>
      <c r="D3538" t="s">
        <v>15</v>
      </c>
      <c r="E3538" t="s">
        <v>16</v>
      </c>
      <c r="F3538" t="s">
        <v>17</v>
      </c>
      <c r="G3538" t="str">
        <f>"10"</f>
        <v>10</v>
      </c>
      <c r="H3538" t="str">
        <f>"0  "</f>
        <v xml:space="preserve">0  </v>
      </c>
      <c r="I3538" t="str">
        <f>"2020/05/15"</f>
        <v>2020/05/15</v>
      </c>
      <c r="J3538" t="str">
        <f>"420"</f>
        <v>420</v>
      </c>
      <c r="K3538" t="s">
        <v>18</v>
      </c>
      <c r="L3538" t="s">
        <v>18</v>
      </c>
      <c r="M3538" t="s">
        <v>18</v>
      </c>
    </row>
    <row r="3539" spans="1:13" x14ac:dyDescent="0.25">
      <c r="A3539" t="str">
        <f>"00214479"</f>
        <v>00214479</v>
      </c>
      <c r="B3539" t="s">
        <v>2256</v>
      </c>
      <c r="C3539" t="s">
        <v>74</v>
      </c>
      <c r="D3539" t="s">
        <v>61</v>
      </c>
      <c r="E3539" t="s">
        <v>26</v>
      </c>
      <c r="F3539" t="s">
        <v>17</v>
      </c>
      <c r="G3539" t="str">
        <f>"10"</f>
        <v>10</v>
      </c>
      <c r="H3539" t="str">
        <f>"0  "</f>
        <v xml:space="preserve">0  </v>
      </c>
      <c r="I3539" t="str">
        <f>"2019/08/31"</f>
        <v>2019/08/31</v>
      </c>
      <c r="J3539" t="str">
        <f>"420"</f>
        <v>420</v>
      </c>
      <c r="K3539" t="s">
        <v>18</v>
      </c>
      <c r="L3539" t="s">
        <v>18</v>
      </c>
      <c r="M3539" t="s">
        <v>18</v>
      </c>
    </row>
    <row r="3540" spans="1:13" x14ac:dyDescent="0.25">
      <c r="A3540" t="str">
        <f>"00723098"</f>
        <v>00723098</v>
      </c>
      <c r="B3540" t="s">
        <v>2263</v>
      </c>
      <c r="C3540" t="s">
        <v>1476</v>
      </c>
      <c r="D3540" t="s">
        <v>25</v>
      </c>
      <c r="E3540" t="s">
        <v>26</v>
      </c>
      <c r="F3540" t="s">
        <v>17</v>
      </c>
      <c r="G3540" t="str">
        <f>"10"</f>
        <v>10</v>
      </c>
      <c r="H3540" t="str">
        <f>"0  "</f>
        <v xml:space="preserve">0  </v>
      </c>
      <c r="I3540" t="str">
        <f>"2019/01/02"</f>
        <v>2019/01/02</v>
      </c>
      <c r="J3540" t="str">
        <f>"420"</f>
        <v>420</v>
      </c>
      <c r="K3540" t="s">
        <v>18</v>
      </c>
      <c r="L3540" t="s">
        <v>18</v>
      </c>
      <c r="M3540" t="s">
        <v>18</v>
      </c>
    </row>
    <row r="3541" spans="1:13" x14ac:dyDescent="0.25">
      <c r="A3541" t="str">
        <f>"00275886"</f>
        <v>00275886</v>
      </c>
      <c r="B3541" t="s">
        <v>2266</v>
      </c>
      <c r="C3541" t="s">
        <v>136</v>
      </c>
      <c r="D3541" t="s">
        <v>51</v>
      </c>
      <c r="E3541" t="s">
        <v>16</v>
      </c>
      <c r="F3541" t="s">
        <v>17</v>
      </c>
      <c r="G3541" t="str">
        <f>"10"</f>
        <v>10</v>
      </c>
      <c r="H3541" t="str">
        <f>"3  "</f>
        <v xml:space="preserve">3  </v>
      </c>
      <c r="I3541" t="str">
        <f>"2020/09/11"</f>
        <v>2020/09/11</v>
      </c>
      <c r="J3541" t="str">
        <f>"110"</f>
        <v>110</v>
      </c>
      <c r="K3541" t="str">
        <f>"20210905"</f>
        <v>20210905</v>
      </c>
      <c r="L3541" t="s">
        <v>18</v>
      </c>
      <c r="M3541" t="str">
        <f>"20191105"</f>
        <v>20191105</v>
      </c>
    </row>
    <row r="3542" spans="1:13" x14ac:dyDescent="0.25">
      <c r="A3542" t="str">
        <f>"00833880"</f>
        <v>00833880</v>
      </c>
      <c r="B3542" t="s">
        <v>2269</v>
      </c>
      <c r="C3542" t="s">
        <v>125</v>
      </c>
      <c r="D3542" t="s">
        <v>61</v>
      </c>
      <c r="E3542" t="s">
        <v>16</v>
      </c>
      <c r="F3542" t="s">
        <v>17</v>
      </c>
      <c r="G3542" t="str">
        <f>"10"</f>
        <v>10</v>
      </c>
      <c r="H3542" t="str">
        <f>"3  "</f>
        <v xml:space="preserve">3  </v>
      </c>
      <c r="I3542" t="str">
        <f>"2019/08/29"</f>
        <v>2019/08/29</v>
      </c>
      <c r="J3542" t="str">
        <f>"503"</f>
        <v>503</v>
      </c>
      <c r="K3542" t="str">
        <f>"20210603"</f>
        <v>20210603</v>
      </c>
      <c r="L3542" t="s">
        <v>18</v>
      </c>
      <c r="M3542" t="str">
        <f>"20181129"</f>
        <v>20181129</v>
      </c>
    </row>
    <row r="3543" spans="1:13" x14ac:dyDescent="0.25">
      <c r="A3543" t="str">
        <f>"00724223"</f>
        <v>00724223</v>
      </c>
      <c r="B3543" t="s">
        <v>2272</v>
      </c>
      <c r="C3543" t="s">
        <v>189</v>
      </c>
      <c r="D3543" t="s">
        <v>25</v>
      </c>
      <c r="E3543" t="s">
        <v>16</v>
      </c>
      <c r="F3543" t="s">
        <v>17</v>
      </c>
      <c r="G3543" t="str">
        <f>"10"</f>
        <v>10</v>
      </c>
      <c r="H3543" t="str">
        <f>"3  "</f>
        <v xml:space="preserve">3  </v>
      </c>
      <c r="I3543" t="str">
        <f>"2014/10/27"</f>
        <v>2014/10/27</v>
      </c>
      <c r="J3543" t="str">
        <f>"110"</f>
        <v>110</v>
      </c>
      <c r="K3543" t="str">
        <f>"20220114"</f>
        <v>20220114</v>
      </c>
      <c r="L3543" t="s">
        <v>18</v>
      </c>
      <c r="M3543" t="str">
        <f>"20131028"</f>
        <v>20131028</v>
      </c>
    </row>
    <row r="3544" spans="1:13" x14ac:dyDescent="0.25">
      <c r="A3544" t="str">
        <f>"00257548"</f>
        <v>00257548</v>
      </c>
      <c r="B3544" t="s">
        <v>2273</v>
      </c>
      <c r="C3544" t="s">
        <v>327</v>
      </c>
      <c r="D3544" t="s">
        <v>61</v>
      </c>
      <c r="E3544" t="s">
        <v>16</v>
      </c>
      <c r="F3544" t="s">
        <v>17</v>
      </c>
      <c r="G3544" t="str">
        <f>"10"</f>
        <v>10</v>
      </c>
      <c r="H3544" t="str">
        <f>"0  "</f>
        <v xml:space="preserve">0  </v>
      </c>
      <c r="I3544" t="str">
        <f>"2020/08/30"</f>
        <v>2020/08/30</v>
      </c>
      <c r="J3544" t="str">
        <f>"420"</f>
        <v>420</v>
      </c>
      <c r="K3544" t="s">
        <v>18</v>
      </c>
      <c r="L3544" t="s">
        <v>18</v>
      </c>
      <c r="M3544" t="s">
        <v>18</v>
      </c>
    </row>
    <row r="3545" spans="1:13" x14ac:dyDescent="0.25">
      <c r="A3545" t="str">
        <f>"00609761"</f>
        <v>00609761</v>
      </c>
      <c r="B3545" t="s">
        <v>2276</v>
      </c>
      <c r="C3545" t="s">
        <v>677</v>
      </c>
      <c r="D3545" t="s">
        <v>61</v>
      </c>
      <c r="E3545" t="s">
        <v>16</v>
      </c>
      <c r="F3545" t="s">
        <v>17</v>
      </c>
      <c r="G3545" t="str">
        <f>"10"</f>
        <v>10</v>
      </c>
      <c r="H3545" t="str">
        <f>"3  "</f>
        <v xml:space="preserve">3  </v>
      </c>
      <c r="I3545" t="str">
        <f>"2018/05/01"</f>
        <v>2018/05/01</v>
      </c>
      <c r="J3545" t="str">
        <f>"110"</f>
        <v>110</v>
      </c>
      <c r="K3545" t="str">
        <f>"20211206"</f>
        <v>20211206</v>
      </c>
      <c r="L3545" t="s">
        <v>18</v>
      </c>
      <c r="M3545" t="str">
        <f>"20170907"</f>
        <v>20170907</v>
      </c>
    </row>
    <row r="3546" spans="1:13" x14ac:dyDescent="0.25">
      <c r="A3546" t="str">
        <f>"00315272"</f>
        <v>00315272</v>
      </c>
      <c r="B3546" t="s">
        <v>2279</v>
      </c>
      <c r="C3546" t="s">
        <v>772</v>
      </c>
      <c r="D3546" t="s">
        <v>26</v>
      </c>
      <c r="E3546" t="s">
        <v>16</v>
      </c>
      <c r="F3546" t="s">
        <v>17</v>
      </c>
      <c r="G3546" t="str">
        <f>"10"</f>
        <v>10</v>
      </c>
      <c r="H3546" t="str">
        <f>"3  "</f>
        <v xml:space="preserve">3  </v>
      </c>
      <c r="I3546" t="str">
        <f>"2020/09/16"</f>
        <v>2020/09/16</v>
      </c>
      <c r="J3546" t="str">
        <f>"502"</f>
        <v>502</v>
      </c>
      <c r="K3546" t="str">
        <f>"20400628"</f>
        <v>20400628</v>
      </c>
      <c r="L3546" t="s">
        <v>18</v>
      </c>
      <c r="M3546" t="str">
        <f>"20120813"</f>
        <v>20120813</v>
      </c>
    </row>
    <row r="3547" spans="1:13" x14ac:dyDescent="0.25">
      <c r="A3547" t="str">
        <f>"00502610"</f>
        <v>00502610</v>
      </c>
      <c r="B3547" t="s">
        <v>2290</v>
      </c>
      <c r="C3547" t="s">
        <v>68</v>
      </c>
      <c r="D3547" t="s">
        <v>15</v>
      </c>
      <c r="E3547" t="s">
        <v>26</v>
      </c>
      <c r="F3547" t="s">
        <v>17</v>
      </c>
      <c r="G3547" t="str">
        <f>"10"</f>
        <v>10</v>
      </c>
      <c r="H3547" t="str">
        <f>"3  "</f>
        <v xml:space="preserve">3  </v>
      </c>
      <c r="I3547" t="str">
        <f>"2017/12/13"</f>
        <v>2017/12/13</v>
      </c>
      <c r="J3547" t="str">
        <f>"110"</f>
        <v>110</v>
      </c>
      <c r="K3547" t="str">
        <f>"20210321"</f>
        <v>20210321</v>
      </c>
      <c r="L3547" t="s">
        <v>18</v>
      </c>
      <c r="M3547" t="str">
        <f>"20170926"</f>
        <v>20170926</v>
      </c>
    </row>
    <row r="3548" spans="1:13" x14ac:dyDescent="0.25">
      <c r="A3548" t="str">
        <f>"00617609"</f>
        <v>00617609</v>
      </c>
      <c r="B3548" t="s">
        <v>2297</v>
      </c>
      <c r="C3548" t="s">
        <v>2298</v>
      </c>
      <c r="D3548" t="s">
        <v>97</v>
      </c>
      <c r="E3548" t="s">
        <v>26</v>
      </c>
      <c r="F3548" t="s">
        <v>17</v>
      </c>
      <c r="G3548" t="str">
        <f>"10"</f>
        <v>10</v>
      </c>
      <c r="H3548" t="str">
        <f>"3  "</f>
        <v xml:space="preserve">3  </v>
      </c>
      <c r="I3548" t="str">
        <f>"2020/05/14"</f>
        <v>2020/05/14</v>
      </c>
      <c r="J3548" t="str">
        <f>"120"</f>
        <v>120</v>
      </c>
      <c r="K3548" t="str">
        <f>"20230710"</f>
        <v>20230710</v>
      </c>
      <c r="L3548" t="s">
        <v>18</v>
      </c>
      <c r="M3548" t="str">
        <f>"20200502"</f>
        <v>20200502</v>
      </c>
    </row>
    <row r="3549" spans="1:13" x14ac:dyDescent="0.25">
      <c r="A3549" t="str">
        <f>"00707865"</f>
        <v>00707865</v>
      </c>
      <c r="B3549" t="s">
        <v>2301</v>
      </c>
      <c r="C3549" t="s">
        <v>1817</v>
      </c>
      <c r="D3549" t="s">
        <v>25</v>
      </c>
      <c r="E3549" t="s">
        <v>26</v>
      </c>
      <c r="F3549" t="s">
        <v>17</v>
      </c>
      <c r="G3549" t="str">
        <f>"10"</f>
        <v>10</v>
      </c>
      <c r="H3549" t="str">
        <f>"0  "</f>
        <v xml:space="preserve">0  </v>
      </c>
      <c r="I3549" t="str">
        <f>"2020/02/13"</f>
        <v>2020/02/13</v>
      </c>
      <c r="J3549" t="str">
        <f>"420"</f>
        <v>420</v>
      </c>
      <c r="K3549" t="s">
        <v>18</v>
      </c>
      <c r="L3549" t="s">
        <v>18</v>
      </c>
      <c r="M3549" t="s">
        <v>18</v>
      </c>
    </row>
    <row r="3550" spans="1:13" x14ac:dyDescent="0.25">
      <c r="A3550" t="str">
        <f>"00885303"</f>
        <v>00885303</v>
      </c>
      <c r="B3550" t="s">
        <v>2301</v>
      </c>
      <c r="C3550" t="s">
        <v>2302</v>
      </c>
      <c r="D3550" t="s">
        <v>25</v>
      </c>
      <c r="E3550" t="s">
        <v>26</v>
      </c>
      <c r="F3550" t="s">
        <v>17</v>
      </c>
      <c r="G3550" t="str">
        <f>"10"</f>
        <v>10</v>
      </c>
      <c r="H3550" t="str">
        <f>"0  "</f>
        <v xml:space="preserve">0  </v>
      </c>
      <c r="I3550" t="str">
        <f>"2020/09/17"</f>
        <v>2020/09/17</v>
      </c>
      <c r="J3550" t="str">
        <f>"420"</f>
        <v>420</v>
      </c>
      <c r="K3550" t="s">
        <v>18</v>
      </c>
      <c r="L3550" t="s">
        <v>18</v>
      </c>
      <c r="M3550" t="s">
        <v>18</v>
      </c>
    </row>
    <row r="3551" spans="1:13" x14ac:dyDescent="0.25">
      <c r="A3551" t="str">
        <f>"00755016"</f>
        <v>00755016</v>
      </c>
      <c r="B3551" t="s">
        <v>2303</v>
      </c>
      <c r="C3551" t="s">
        <v>2304</v>
      </c>
      <c r="D3551" t="s">
        <v>21</v>
      </c>
      <c r="E3551" t="s">
        <v>26</v>
      </c>
      <c r="F3551" t="s">
        <v>17</v>
      </c>
      <c r="G3551" t="str">
        <f>"10"</f>
        <v>10</v>
      </c>
      <c r="H3551" t="str">
        <f>"0  "</f>
        <v xml:space="preserve">0  </v>
      </c>
      <c r="I3551" t="str">
        <f>"2020/07/23"</f>
        <v>2020/07/23</v>
      </c>
      <c r="J3551" t="str">
        <f>"420"</f>
        <v>420</v>
      </c>
      <c r="K3551" t="s">
        <v>18</v>
      </c>
      <c r="L3551" t="s">
        <v>18</v>
      </c>
      <c r="M3551" t="s">
        <v>18</v>
      </c>
    </row>
    <row r="3552" spans="1:13" x14ac:dyDescent="0.25">
      <c r="A3552" t="str">
        <f>"00485129"</f>
        <v>00485129</v>
      </c>
      <c r="B3552" t="s">
        <v>2311</v>
      </c>
      <c r="C3552" t="s">
        <v>2066</v>
      </c>
      <c r="D3552" t="s">
        <v>25</v>
      </c>
      <c r="E3552" t="s">
        <v>26</v>
      </c>
      <c r="F3552" t="s">
        <v>17</v>
      </c>
      <c r="G3552" t="str">
        <f>"10"</f>
        <v>10</v>
      </c>
      <c r="H3552" t="str">
        <f>"3  "</f>
        <v xml:space="preserve">3  </v>
      </c>
      <c r="I3552" t="str">
        <f>"2015/09/16"</f>
        <v>2015/09/16</v>
      </c>
      <c r="J3552" t="str">
        <f>"110"</f>
        <v>110</v>
      </c>
      <c r="K3552" t="str">
        <f>"20230203"</f>
        <v>20230203</v>
      </c>
      <c r="L3552" t="s">
        <v>18</v>
      </c>
      <c r="M3552" t="str">
        <f>"20141222"</f>
        <v>20141222</v>
      </c>
    </row>
    <row r="3553" spans="1:13" x14ac:dyDescent="0.25">
      <c r="A3553" t="str">
        <f>"00831284"</f>
        <v>00831284</v>
      </c>
      <c r="B3553" t="s">
        <v>2313</v>
      </c>
      <c r="C3553" t="s">
        <v>164</v>
      </c>
      <c r="D3553" t="s">
        <v>25</v>
      </c>
      <c r="E3553" t="s">
        <v>26</v>
      </c>
      <c r="F3553" t="s">
        <v>17</v>
      </c>
      <c r="G3553" t="str">
        <f>"10"</f>
        <v>10</v>
      </c>
      <c r="H3553" t="str">
        <f>"3  "</f>
        <v xml:space="preserve">3  </v>
      </c>
      <c r="I3553" t="str">
        <f>"2019/02/20"</f>
        <v>2019/02/20</v>
      </c>
      <c r="J3553" t="str">
        <f>"110"</f>
        <v>110</v>
      </c>
      <c r="K3553" t="str">
        <f>"20210721"</f>
        <v>20210721</v>
      </c>
      <c r="L3553" t="s">
        <v>18</v>
      </c>
      <c r="M3553" t="str">
        <f>"20181127"</f>
        <v>20181127</v>
      </c>
    </row>
    <row r="3554" spans="1:13" x14ac:dyDescent="0.25">
      <c r="A3554" t="str">
        <f>"00874778"</f>
        <v>00874778</v>
      </c>
      <c r="B3554" t="s">
        <v>2315</v>
      </c>
      <c r="C3554" t="s">
        <v>540</v>
      </c>
      <c r="D3554" t="s">
        <v>25</v>
      </c>
      <c r="E3554" t="s">
        <v>26</v>
      </c>
      <c r="F3554" t="s">
        <v>17</v>
      </c>
      <c r="G3554" t="str">
        <f>"10"</f>
        <v>10</v>
      </c>
      <c r="H3554" t="str">
        <f>"3  "</f>
        <v xml:space="preserve">3  </v>
      </c>
      <c r="I3554" t="str">
        <f>"2019/05/08"</f>
        <v>2019/05/08</v>
      </c>
      <c r="J3554" t="str">
        <f>"110"</f>
        <v>110</v>
      </c>
      <c r="K3554" t="str">
        <f>"20211127"</f>
        <v>20211127</v>
      </c>
      <c r="L3554" t="s">
        <v>18</v>
      </c>
      <c r="M3554" t="str">
        <f>"20190508"</f>
        <v>20190508</v>
      </c>
    </row>
    <row r="3555" spans="1:13" x14ac:dyDescent="0.25">
      <c r="A3555" t="str">
        <f>"00736365"</f>
        <v>00736365</v>
      </c>
      <c r="B3555" t="s">
        <v>2315</v>
      </c>
      <c r="C3555" t="s">
        <v>2320</v>
      </c>
      <c r="D3555" t="s">
        <v>45</v>
      </c>
      <c r="E3555" t="s">
        <v>26</v>
      </c>
      <c r="F3555" t="s">
        <v>17</v>
      </c>
      <c r="G3555" t="str">
        <f>"10"</f>
        <v>10</v>
      </c>
      <c r="H3555" t="str">
        <f>"1  "</f>
        <v xml:space="preserve">1  </v>
      </c>
      <c r="I3555" t="str">
        <f>"2020/08/06"</f>
        <v>2020/08/06</v>
      </c>
      <c r="J3555" t="str">
        <f>"120"</f>
        <v>120</v>
      </c>
      <c r="K3555" t="str">
        <f>"20201009"</f>
        <v>20201009</v>
      </c>
      <c r="L3555" t="s">
        <v>18</v>
      </c>
      <c r="M3555" t="str">
        <f>"20200716"</f>
        <v>20200716</v>
      </c>
    </row>
    <row r="3556" spans="1:13" x14ac:dyDescent="0.25">
      <c r="A3556" t="str">
        <f>"00756366"</f>
        <v>00756366</v>
      </c>
      <c r="B3556" t="s">
        <v>2315</v>
      </c>
      <c r="C3556" t="s">
        <v>58</v>
      </c>
      <c r="D3556" t="s">
        <v>25</v>
      </c>
      <c r="E3556" t="s">
        <v>26</v>
      </c>
      <c r="F3556" t="s">
        <v>17</v>
      </c>
      <c r="G3556" t="str">
        <f>"10"</f>
        <v>10</v>
      </c>
      <c r="H3556" t="str">
        <f>"0  "</f>
        <v xml:space="preserve">0  </v>
      </c>
      <c r="I3556" t="str">
        <f>"2020/07/28"</f>
        <v>2020/07/28</v>
      </c>
      <c r="J3556" t="str">
        <f>"512"</f>
        <v>512</v>
      </c>
      <c r="K3556" t="s">
        <v>18</v>
      </c>
      <c r="L3556" t="s">
        <v>18</v>
      </c>
      <c r="M3556" t="s">
        <v>18</v>
      </c>
    </row>
    <row r="3557" spans="1:13" x14ac:dyDescent="0.25">
      <c r="A3557" t="str">
        <f>"00450208"</f>
        <v>00450208</v>
      </c>
      <c r="B3557" t="s">
        <v>2315</v>
      </c>
      <c r="C3557" t="s">
        <v>308</v>
      </c>
      <c r="D3557" t="s">
        <v>142</v>
      </c>
      <c r="E3557" t="s">
        <v>16</v>
      </c>
      <c r="F3557" t="s">
        <v>17</v>
      </c>
      <c r="G3557" t="str">
        <f>"10"</f>
        <v>10</v>
      </c>
      <c r="H3557" t="str">
        <f>"0  "</f>
        <v xml:space="preserve">0  </v>
      </c>
      <c r="I3557" t="str">
        <f>"2020/08/15"</f>
        <v>2020/08/15</v>
      </c>
      <c r="J3557" t="str">
        <f>"420"</f>
        <v>420</v>
      </c>
      <c r="K3557" t="s">
        <v>18</v>
      </c>
      <c r="L3557" t="s">
        <v>18</v>
      </c>
      <c r="M3557" t="s">
        <v>18</v>
      </c>
    </row>
    <row r="3558" spans="1:13" x14ac:dyDescent="0.25">
      <c r="A3558" t="str">
        <f>"00188943"</f>
        <v>00188943</v>
      </c>
      <c r="B3558" t="s">
        <v>2315</v>
      </c>
      <c r="C3558" t="s">
        <v>304</v>
      </c>
      <c r="D3558" t="s">
        <v>91</v>
      </c>
      <c r="E3558" t="s">
        <v>26</v>
      </c>
      <c r="F3558" t="s">
        <v>17</v>
      </c>
      <c r="G3558" t="str">
        <f>"10"</f>
        <v>10</v>
      </c>
      <c r="H3558" t="str">
        <f>"1  "</f>
        <v xml:space="preserve">1  </v>
      </c>
      <c r="I3558" t="str">
        <f>"2020/08/13"</f>
        <v>2020/08/13</v>
      </c>
      <c r="J3558" t="str">
        <f>"110"</f>
        <v>110</v>
      </c>
      <c r="K3558" t="str">
        <f>"20201008"</f>
        <v>20201008</v>
      </c>
      <c r="L3558" t="s">
        <v>18</v>
      </c>
      <c r="M3558" t="str">
        <f>"20200813"</f>
        <v>20200813</v>
      </c>
    </row>
    <row r="3559" spans="1:13" x14ac:dyDescent="0.25">
      <c r="A3559" t="str">
        <f>"00312435"</f>
        <v>00312435</v>
      </c>
      <c r="B3559" t="s">
        <v>2315</v>
      </c>
      <c r="C3559" t="s">
        <v>22</v>
      </c>
      <c r="D3559" t="s">
        <v>26</v>
      </c>
      <c r="E3559" t="s">
        <v>26</v>
      </c>
      <c r="F3559" t="s">
        <v>17</v>
      </c>
      <c r="G3559" t="str">
        <f>"10"</f>
        <v>10</v>
      </c>
      <c r="H3559" t="str">
        <f>"1  "</f>
        <v xml:space="preserve">1  </v>
      </c>
      <c r="I3559" t="str">
        <f>"2020/08/25"</f>
        <v>2020/08/25</v>
      </c>
      <c r="J3559" t="str">
        <f>"120"</f>
        <v>120</v>
      </c>
      <c r="K3559" t="str">
        <f>"20201130"</f>
        <v>20201130</v>
      </c>
      <c r="L3559" t="s">
        <v>18</v>
      </c>
      <c r="M3559" t="str">
        <f>"20200811"</f>
        <v>20200811</v>
      </c>
    </row>
    <row r="3560" spans="1:13" x14ac:dyDescent="0.25">
      <c r="A3560" t="str">
        <f>"00738493"</f>
        <v>00738493</v>
      </c>
      <c r="B3560" t="s">
        <v>2315</v>
      </c>
      <c r="C3560" t="s">
        <v>2326</v>
      </c>
      <c r="D3560" t="s">
        <v>16</v>
      </c>
      <c r="E3560" t="s">
        <v>26</v>
      </c>
      <c r="F3560" t="s">
        <v>17</v>
      </c>
      <c r="G3560" t="str">
        <f>"10"</f>
        <v>10</v>
      </c>
      <c r="H3560" t="str">
        <f>"0  "</f>
        <v xml:space="preserve">0  </v>
      </c>
      <c r="I3560" t="str">
        <f>"2020/09/18"</f>
        <v>2020/09/18</v>
      </c>
      <c r="J3560" t="str">
        <f>"420"</f>
        <v>420</v>
      </c>
      <c r="K3560" t="s">
        <v>18</v>
      </c>
      <c r="L3560" t="s">
        <v>18</v>
      </c>
      <c r="M3560" t="s">
        <v>18</v>
      </c>
    </row>
    <row r="3561" spans="1:13" x14ac:dyDescent="0.25">
      <c r="A3561" t="str">
        <f>"00516040"</f>
        <v>00516040</v>
      </c>
      <c r="B3561" t="s">
        <v>2337</v>
      </c>
      <c r="C3561" t="s">
        <v>55</v>
      </c>
      <c r="D3561" t="s">
        <v>51</v>
      </c>
      <c r="E3561" t="s">
        <v>26</v>
      </c>
      <c r="F3561" t="s">
        <v>17</v>
      </c>
      <c r="G3561" t="str">
        <f>"10"</f>
        <v>10</v>
      </c>
      <c r="H3561" t="str">
        <f>"0  "</f>
        <v xml:space="preserve">0  </v>
      </c>
      <c r="I3561" t="str">
        <f>"2020/02/22"</f>
        <v>2020/02/22</v>
      </c>
      <c r="J3561" t="str">
        <f>"420"</f>
        <v>420</v>
      </c>
      <c r="K3561" t="s">
        <v>18</v>
      </c>
      <c r="L3561" t="s">
        <v>18</v>
      </c>
      <c r="M3561" t="s">
        <v>18</v>
      </c>
    </row>
    <row r="3562" spans="1:13" x14ac:dyDescent="0.25">
      <c r="A3562" t="str">
        <f>"00288630"</f>
        <v>00288630</v>
      </c>
      <c r="B3562" t="s">
        <v>2339</v>
      </c>
      <c r="C3562" t="s">
        <v>254</v>
      </c>
      <c r="D3562" t="s">
        <v>31</v>
      </c>
      <c r="E3562" t="s">
        <v>16</v>
      </c>
      <c r="F3562" t="s">
        <v>17</v>
      </c>
      <c r="G3562" t="str">
        <f>"10"</f>
        <v>10</v>
      </c>
      <c r="H3562" t="str">
        <f>"3  "</f>
        <v xml:space="preserve">3  </v>
      </c>
      <c r="I3562" t="str">
        <f>"2020/01/29"</f>
        <v>2020/01/29</v>
      </c>
      <c r="J3562" t="str">
        <f>"110"</f>
        <v>110</v>
      </c>
      <c r="K3562" t="str">
        <f>"20240320"</f>
        <v>20240320</v>
      </c>
      <c r="L3562" t="s">
        <v>18</v>
      </c>
      <c r="M3562" t="str">
        <f>"20190906"</f>
        <v>20190906</v>
      </c>
    </row>
    <row r="3563" spans="1:13" x14ac:dyDescent="0.25">
      <c r="A3563" t="str">
        <f>"00727667"</f>
        <v>00727667</v>
      </c>
      <c r="B3563" t="s">
        <v>2340</v>
      </c>
      <c r="C3563" t="s">
        <v>2341</v>
      </c>
      <c r="D3563" t="s">
        <v>21</v>
      </c>
      <c r="E3563" t="s">
        <v>26</v>
      </c>
      <c r="F3563" t="s">
        <v>17</v>
      </c>
      <c r="G3563" t="str">
        <f>"10"</f>
        <v>10</v>
      </c>
      <c r="H3563" t="str">
        <f>"0  "</f>
        <v xml:space="preserve">0  </v>
      </c>
      <c r="I3563" t="str">
        <f>"2020/03/03"</f>
        <v>2020/03/03</v>
      </c>
      <c r="J3563" t="str">
        <f>"420"</f>
        <v>420</v>
      </c>
      <c r="K3563" t="s">
        <v>18</v>
      </c>
      <c r="L3563" t="s">
        <v>18</v>
      </c>
      <c r="M3563" t="s">
        <v>18</v>
      </c>
    </row>
    <row r="3564" spans="1:13" x14ac:dyDescent="0.25">
      <c r="A3564" t="str">
        <f>"00465324"</f>
        <v>00465324</v>
      </c>
      <c r="B3564" t="s">
        <v>2343</v>
      </c>
      <c r="C3564" t="s">
        <v>606</v>
      </c>
      <c r="D3564" t="s">
        <v>45</v>
      </c>
      <c r="E3564" t="s">
        <v>26</v>
      </c>
      <c r="F3564" t="s">
        <v>17</v>
      </c>
      <c r="G3564" t="str">
        <f>"10"</f>
        <v>10</v>
      </c>
      <c r="H3564" t="str">
        <f>"3  "</f>
        <v xml:space="preserve">3  </v>
      </c>
      <c r="I3564" t="str">
        <f>"2014/12/10"</f>
        <v>2014/12/10</v>
      </c>
      <c r="J3564" t="str">
        <f>"110"</f>
        <v>110</v>
      </c>
      <c r="K3564" t="str">
        <f>"20210121"</f>
        <v>20210121</v>
      </c>
      <c r="L3564" t="s">
        <v>18</v>
      </c>
      <c r="M3564" t="str">
        <f>"20140510"</f>
        <v>20140510</v>
      </c>
    </row>
    <row r="3565" spans="1:13" x14ac:dyDescent="0.25">
      <c r="A3565" t="str">
        <f>"00745363"</f>
        <v>00745363</v>
      </c>
      <c r="B3565" t="s">
        <v>2343</v>
      </c>
      <c r="C3565" t="s">
        <v>2344</v>
      </c>
      <c r="D3565" t="s">
        <v>61</v>
      </c>
      <c r="E3565" t="s">
        <v>26</v>
      </c>
      <c r="F3565" t="s">
        <v>17</v>
      </c>
      <c r="G3565" t="str">
        <f>"10"</f>
        <v>10</v>
      </c>
      <c r="H3565" t="str">
        <f>"3  "</f>
        <v xml:space="preserve">3  </v>
      </c>
      <c r="I3565" t="str">
        <f>"2019/12/06"</f>
        <v>2019/12/06</v>
      </c>
      <c r="J3565" t="str">
        <f>"110"</f>
        <v>110</v>
      </c>
      <c r="K3565" t="str">
        <f>"20260403"</f>
        <v>20260403</v>
      </c>
      <c r="L3565" t="s">
        <v>18</v>
      </c>
      <c r="M3565" t="str">
        <f>"20190131"</f>
        <v>20190131</v>
      </c>
    </row>
    <row r="3566" spans="1:13" x14ac:dyDescent="0.25">
      <c r="A3566" t="str">
        <f>"00315033"</f>
        <v>00315033</v>
      </c>
      <c r="B3566" t="s">
        <v>2343</v>
      </c>
      <c r="C3566" t="s">
        <v>2345</v>
      </c>
      <c r="D3566" t="s">
        <v>25</v>
      </c>
      <c r="E3566" t="s">
        <v>26</v>
      </c>
      <c r="F3566" t="s">
        <v>17</v>
      </c>
      <c r="G3566" t="str">
        <f>"10"</f>
        <v>10</v>
      </c>
      <c r="H3566" t="str">
        <f>"3  "</f>
        <v xml:space="preserve">3  </v>
      </c>
      <c r="I3566" t="str">
        <f>"2020/07/24"</f>
        <v>2020/07/24</v>
      </c>
      <c r="J3566" t="str">
        <f>"110"</f>
        <v>110</v>
      </c>
      <c r="K3566" t="str">
        <f>"20290115"</f>
        <v>20290115</v>
      </c>
      <c r="L3566" t="s">
        <v>18</v>
      </c>
      <c r="M3566" t="str">
        <f>"20190225"</f>
        <v>20190225</v>
      </c>
    </row>
    <row r="3567" spans="1:13" x14ac:dyDescent="0.25">
      <c r="A3567" t="str">
        <f>"00326806"</f>
        <v>00326806</v>
      </c>
      <c r="B3567" t="s">
        <v>2343</v>
      </c>
      <c r="C3567" t="s">
        <v>55</v>
      </c>
      <c r="D3567" t="s">
        <v>61</v>
      </c>
      <c r="E3567" t="s">
        <v>16</v>
      </c>
      <c r="F3567" t="s">
        <v>17</v>
      </c>
      <c r="G3567" t="str">
        <f>"10"</f>
        <v>10</v>
      </c>
      <c r="H3567" t="str">
        <f>"3  "</f>
        <v xml:space="preserve">3  </v>
      </c>
      <c r="I3567" t="str">
        <f>"2015/01/23"</f>
        <v>2015/01/23</v>
      </c>
      <c r="J3567" t="str">
        <f>"110"</f>
        <v>110</v>
      </c>
      <c r="K3567" t="str">
        <f>"20241111"</f>
        <v>20241111</v>
      </c>
      <c r="L3567" t="s">
        <v>18</v>
      </c>
      <c r="M3567" t="str">
        <f>"20140527"</f>
        <v>20140527</v>
      </c>
    </row>
    <row r="3568" spans="1:13" x14ac:dyDescent="0.25">
      <c r="A3568" t="str">
        <f>"00556516"</f>
        <v>00556516</v>
      </c>
      <c r="B3568" t="s">
        <v>2352</v>
      </c>
      <c r="C3568" t="s">
        <v>2143</v>
      </c>
      <c r="D3568" t="s">
        <v>51</v>
      </c>
      <c r="E3568" t="s">
        <v>26</v>
      </c>
      <c r="F3568" t="s">
        <v>17</v>
      </c>
      <c r="G3568" t="str">
        <f>"10"</f>
        <v>10</v>
      </c>
      <c r="H3568" t="str">
        <f>"0  "</f>
        <v xml:space="preserve">0  </v>
      </c>
      <c r="I3568" t="str">
        <f>"2020/06/28"</f>
        <v>2020/06/28</v>
      </c>
      <c r="J3568" t="str">
        <f>"420"</f>
        <v>420</v>
      </c>
      <c r="K3568" t="s">
        <v>18</v>
      </c>
      <c r="L3568" t="s">
        <v>18</v>
      </c>
      <c r="M3568" t="s">
        <v>18</v>
      </c>
    </row>
    <row r="3569" spans="1:13" x14ac:dyDescent="0.25">
      <c r="A3569" t="str">
        <f>"00305734"</f>
        <v>00305734</v>
      </c>
      <c r="B3569" t="s">
        <v>2353</v>
      </c>
      <c r="C3569" t="s">
        <v>342</v>
      </c>
      <c r="D3569" t="s">
        <v>53</v>
      </c>
      <c r="E3569" t="s">
        <v>26</v>
      </c>
      <c r="F3569" t="s">
        <v>17</v>
      </c>
      <c r="G3569" t="str">
        <f>"10"</f>
        <v>10</v>
      </c>
      <c r="H3569" t="str">
        <f>"0  "</f>
        <v xml:space="preserve">0  </v>
      </c>
      <c r="I3569" t="str">
        <f>"2018/12/11"</f>
        <v>2018/12/11</v>
      </c>
      <c r="J3569" t="str">
        <f>"420"</f>
        <v>420</v>
      </c>
      <c r="K3569" t="s">
        <v>18</v>
      </c>
      <c r="L3569" t="s">
        <v>18</v>
      </c>
      <c r="M3569" t="s">
        <v>18</v>
      </c>
    </row>
    <row r="3570" spans="1:13" x14ac:dyDescent="0.25">
      <c r="A3570" t="str">
        <f>"00751206"</f>
        <v>00751206</v>
      </c>
      <c r="B3570" t="s">
        <v>2354</v>
      </c>
      <c r="C3570" t="s">
        <v>2355</v>
      </c>
      <c r="D3570" t="s">
        <v>37</v>
      </c>
      <c r="E3570" t="s">
        <v>26</v>
      </c>
      <c r="F3570" t="s">
        <v>17</v>
      </c>
      <c r="G3570" t="str">
        <f>"10"</f>
        <v>10</v>
      </c>
      <c r="H3570" t="str">
        <f>"0  "</f>
        <v xml:space="preserve">0  </v>
      </c>
      <c r="I3570" t="str">
        <f>"2019/08/22"</f>
        <v>2019/08/22</v>
      </c>
      <c r="J3570" t="str">
        <f>"420"</f>
        <v>420</v>
      </c>
      <c r="K3570" t="s">
        <v>18</v>
      </c>
      <c r="L3570" t="s">
        <v>18</v>
      </c>
      <c r="M3570" t="s">
        <v>18</v>
      </c>
    </row>
    <row r="3571" spans="1:13" x14ac:dyDescent="0.25">
      <c r="A3571" t="str">
        <f>"00387268"</f>
        <v>00387268</v>
      </c>
      <c r="B3571" t="s">
        <v>2360</v>
      </c>
      <c r="C3571" t="s">
        <v>120</v>
      </c>
      <c r="D3571" t="s">
        <v>61</v>
      </c>
      <c r="E3571" t="s">
        <v>16</v>
      </c>
      <c r="F3571" t="s">
        <v>17</v>
      </c>
      <c r="G3571" t="str">
        <f>"10"</f>
        <v>10</v>
      </c>
      <c r="H3571" t="str">
        <f>"3  "</f>
        <v xml:space="preserve">3  </v>
      </c>
      <c r="I3571" t="str">
        <f>"2019/04/03"</f>
        <v>2019/04/03</v>
      </c>
      <c r="J3571" t="str">
        <f>"110"</f>
        <v>110</v>
      </c>
      <c r="K3571" t="str">
        <f>"20220204"</f>
        <v>20220204</v>
      </c>
      <c r="L3571" t="s">
        <v>18</v>
      </c>
      <c r="M3571" t="str">
        <f>"20180826"</f>
        <v>20180826</v>
      </c>
    </row>
    <row r="3572" spans="1:13" x14ac:dyDescent="0.25">
      <c r="A3572" t="str">
        <f>"00916144"</f>
        <v>00916144</v>
      </c>
      <c r="B3572" t="s">
        <v>2360</v>
      </c>
      <c r="C3572" t="s">
        <v>1270</v>
      </c>
      <c r="D3572" t="s">
        <v>80</v>
      </c>
      <c r="E3572" t="s">
        <v>26</v>
      </c>
      <c r="F3572" t="s">
        <v>17</v>
      </c>
      <c r="G3572" t="str">
        <f>"10"</f>
        <v>10</v>
      </c>
      <c r="H3572" t="str">
        <f>"3  "</f>
        <v xml:space="preserve">3  </v>
      </c>
      <c r="I3572" t="str">
        <f>"2020/03/02"</f>
        <v>2020/03/02</v>
      </c>
      <c r="J3572" t="str">
        <f>"110"</f>
        <v>110</v>
      </c>
      <c r="K3572" t="str">
        <f>"20210707"</f>
        <v>20210707</v>
      </c>
      <c r="L3572" t="s">
        <v>18</v>
      </c>
      <c r="M3572" t="str">
        <f>"20190906"</f>
        <v>20190906</v>
      </c>
    </row>
    <row r="3573" spans="1:13" x14ac:dyDescent="0.25">
      <c r="A3573" t="str">
        <f>"00397866"</f>
        <v>00397866</v>
      </c>
      <c r="B3573" t="s">
        <v>2363</v>
      </c>
      <c r="C3573" t="s">
        <v>944</v>
      </c>
      <c r="D3573" t="s">
        <v>45</v>
      </c>
      <c r="E3573" t="s">
        <v>26</v>
      </c>
      <c r="F3573" t="s">
        <v>17</v>
      </c>
      <c r="G3573" t="str">
        <f>"10"</f>
        <v>10</v>
      </c>
      <c r="H3573" t="str">
        <f>"3  "</f>
        <v xml:space="preserve">3  </v>
      </c>
      <c r="I3573" t="str">
        <f>"2019/10/01"</f>
        <v>2019/10/01</v>
      </c>
      <c r="J3573" t="str">
        <f>"110"</f>
        <v>110</v>
      </c>
      <c r="K3573" t="str">
        <f>"20220306"</f>
        <v>20220306</v>
      </c>
      <c r="L3573" t="s">
        <v>18</v>
      </c>
      <c r="M3573" t="str">
        <f>"20180910"</f>
        <v>20180910</v>
      </c>
    </row>
    <row r="3574" spans="1:13" x14ac:dyDescent="0.25">
      <c r="A3574" t="str">
        <f>"00661267"</f>
        <v>00661267</v>
      </c>
      <c r="B3574" t="s">
        <v>2365</v>
      </c>
      <c r="C3574" t="s">
        <v>1559</v>
      </c>
      <c r="D3574" t="s">
        <v>25</v>
      </c>
      <c r="E3574" t="s">
        <v>16</v>
      </c>
      <c r="F3574" t="s">
        <v>17</v>
      </c>
      <c r="G3574" t="str">
        <f>"10"</f>
        <v>10</v>
      </c>
      <c r="H3574" t="str">
        <f>"3  "</f>
        <v xml:space="preserve">3  </v>
      </c>
      <c r="I3574" t="str">
        <f>"2019/07/17"</f>
        <v>2019/07/17</v>
      </c>
      <c r="J3574" t="str">
        <f>"110"</f>
        <v>110</v>
      </c>
      <c r="K3574" t="str">
        <f>"20230607"</f>
        <v>20230607</v>
      </c>
      <c r="L3574" t="s">
        <v>18</v>
      </c>
      <c r="M3574" t="str">
        <f>"20190117"</f>
        <v>20190117</v>
      </c>
    </row>
    <row r="3575" spans="1:13" x14ac:dyDescent="0.25">
      <c r="A3575" t="str">
        <f>"00846034"</f>
        <v>00846034</v>
      </c>
      <c r="B3575" t="s">
        <v>2365</v>
      </c>
      <c r="C3575" t="s">
        <v>2368</v>
      </c>
      <c r="D3575" t="s">
        <v>25</v>
      </c>
      <c r="E3575" t="s">
        <v>26</v>
      </c>
      <c r="F3575" t="s">
        <v>17</v>
      </c>
      <c r="G3575" t="str">
        <f>"10"</f>
        <v>10</v>
      </c>
      <c r="H3575" t="str">
        <f>"0  "</f>
        <v xml:space="preserve">0  </v>
      </c>
      <c r="I3575" t="str">
        <f>"2020/07/27"</f>
        <v>2020/07/27</v>
      </c>
      <c r="J3575" t="str">
        <f>"420"</f>
        <v>420</v>
      </c>
      <c r="K3575" t="s">
        <v>18</v>
      </c>
      <c r="L3575" t="s">
        <v>18</v>
      </c>
      <c r="M3575" t="s">
        <v>18</v>
      </c>
    </row>
    <row r="3576" spans="1:13" x14ac:dyDescent="0.25">
      <c r="A3576" t="str">
        <f>"00565310"</f>
        <v>00565310</v>
      </c>
      <c r="B3576" t="s">
        <v>2375</v>
      </c>
      <c r="C3576" t="s">
        <v>2376</v>
      </c>
      <c r="D3576" t="s">
        <v>51</v>
      </c>
      <c r="E3576" t="s">
        <v>26</v>
      </c>
      <c r="F3576" t="s">
        <v>17</v>
      </c>
      <c r="G3576" t="str">
        <f>"10"</f>
        <v>10</v>
      </c>
      <c r="H3576" t="str">
        <f>"3  "</f>
        <v xml:space="preserve">3  </v>
      </c>
      <c r="I3576" t="str">
        <f>"2019/08/22"</f>
        <v>2019/08/22</v>
      </c>
      <c r="J3576" t="str">
        <f>"503"</f>
        <v>503</v>
      </c>
      <c r="K3576" t="str">
        <f>"20230829"</f>
        <v>20230829</v>
      </c>
      <c r="L3576" t="s">
        <v>18</v>
      </c>
      <c r="M3576" t="str">
        <f>"20190218"</f>
        <v>20190218</v>
      </c>
    </row>
    <row r="3577" spans="1:13" x14ac:dyDescent="0.25">
      <c r="A3577" t="str">
        <f>"00256106"</f>
        <v>00256106</v>
      </c>
      <c r="B3577" t="s">
        <v>2375</v>
      </c>
      <c r="C3577" t="s">
        <v>59</v>
      </c>
      <c r="D3577" t="s">
        <v>61</v>
      </c>
      <c r="E3577" t="s">
        <v>16</v>
      </c>
      <c r="F3577" t="s">
        <v>17</v>
      </c>
      <c r="G3577" t="str">
        <f>"10"</f>
        <v>10</v>
      </c>
      <c r="H3577" t="str">
        <f>"0  "</f>
        <v xml:space="preserve">0  </v>
      </c>
      <c r="I3577" t="str">
        <f>"2020/01/06"</f>
        <v>2020/01/06</v>
      </c>
      <c r="J3577" t="str">
        <f>"420"</f>
        <v>420</v>
      </c>
      <c r="K3577" t="s">
        <v>18</v>
      </c>
      <c r="L3577" t="s">
        <v>18</v>
      </c>
      <c r="M3577" t="s">
        <v>18</v>
      </c>
    </row>
    <row r="3578" spans="1:13" x14ac:dyDescent="0.25">
      <c r="A3578" t="str">
        <f>"00236771"</f>
        <v>00236771</v>
      </c>
      <c r="B3578" t="s">
        <v>2378</v>
      </c>
      <c r="C3578" t="s">
        <v>136</v>
      </c>
      <c r="D3578" t="s">
        <v>47</v>
      </c>
      <c r="E3578" t="s">
        <v>16</v>
      </c>
      <c r="F3578" t="s">
        <v>17</v>
      </c>
      <c r="G3578" t="str">
        <f>"10"</f>
        <v>10</v>
      </c>
      <c r="H3578" t="str">
        <f>"3  "</f>
        <v xml:space="preserve">3  </v>
      </c>
      <c r="I3578" t="str">
        <f>"2020/09/11"</f>
        <v>2020/09/11</v>
      </c>
      <c r="J3578" t="str">
        <f>"110"</f>
        <v>110</v>
      </c>
      <c r="K3578" t="str">
        <f>"20210920"</f>
        <v>20210920</v>
      </c>
      <c r="L3578" t="s">
        <v>18</v>
      </c>
      <c r="M3578" t="str">
        <f>"20200218"</f>
        <v>20200218</v>
      </c>
    </row>
    <row r="3579" spans="1:13" x14ac:dyDescent="0.25">
      <c r="A3579" t="str">
        <f>"00319263"</f>
        <v>00319263</v>
      </c>
      <c r="B3579" t="s">
        <v>2378</v>
      </c>
      <c r="C3579" t="s">
        <v>1062</v>
      </c>
      <c r="D3579" t="s">
        <v>97</v>
      </c>
      <c r="E3579" t="s">
        <v>16</v>
      </c>
      <c r="F3579" t="s">
        <v>17</v>
      </c>
      <c r="G3579" t="str">
        <f>"10"</f>
        <v>10</v>
      </c>
      <c r="H3579" t="str">
        <f>"0  "</f>
        <v xml:space="preserve">0  </v>
      </c>
      <c r="I3579" t="str">
        <f>"2020/02/06"</f>
        <v>2020/02/06</v>
      </c>
      <c r="J3579" t="str">
        <f>"420"</f>
        <v>420</v>
      </c>
      <c r="K3579" t="s">
        <v>18</v>
      </c>
      <c r="L3579" t="s">
        <v>18</v>
      </c>
      <c r="M3579" t="s">
        <v>18</v>
      </c>
    </row>
    <row r="3580" spans="1:13" x14ac:dyDescent="0.25">
      <c r="A3580" t="str">
        <f>"00613246"</f>
        <v>00613246</v>
      </c>
      <c r="B3580" t="s">
        <v>2381</v>
      </c>
      <c r="C3580" t="s">
        <v>59</v>
      </c>
      <c r="D3580" t="s">
        <v>61</v>
      </c>
      <c r="E3580" t="s">
        <v>16</v>
      </c>
      <c r="F3580" t="s">
        <v>17</v>
      </c>
      <c r="G3580" t="str">
        <f>"10"</f>
        <v>10</v>
      </c>
      <c r="H3580" t="str">
        <f>"3  "</f>
        <v xml:space="preserve">3  </v>
      </c>
      <c r="I3580" t="str">
        <f>"2020/08/14"</f>
        <v>2020/08/14</v>
      </c>
      <c r="J3580" t="str">
        <f>"110"</f>
        <v>110</v>
      </c>
      <c r="K3580" t="str">
        <f>"20220505"</f>
        <v>20220505</v>
      </c>
      <c r="L3580" t="s">
        <v>18</v>
      </c>
      <c r="M3580" t="str">
        <f>"20190810"</f>
        <v>20190810</v>
      </c>
    </row>
    <row r="3581" spans="1:13" x14ac:dyDescent="0.25">
      <c r="A3581" t="str">
        <f>"00871608"</f>
        <v>00871608</v>
      </c>
      <c r="B3581" t="s">
        <v>2383</v>
      </c>
      <c r="C3581" t="s">
        <v>398</v>
      </c>
      <c r="D3581" t="s">
        <v>21</v>
      </c>
      <c r="E3581" t="s">
        <v>16</v>
      </c>
      <c r="F3581" t="s">
        <v>17</v>
      </c>
      <c r="G3581" t="str">
        <f>"10"</f>
        <v>10</v>
      </c>
      <c r="H3581" t="str">
        <f>"1  "</f>
        <v xml:space="preserve">1  </v>
      </c>
      <c r="I3581" t="str">
        <f>"2020/08/21"</f>
        <v>2020/08/21</v>
      </c>
      <c r="J3581" t="str">
        <f>"120"</f>
        <v>120</v>
      </c>
      <c r="K3581" t="str">
        <f>"20201012"</f>
        <v>20201012</v>
      </c>
      <c r="L3581" t="s">
        <v>18</v>
      </c>
      <c r="M3581" t="str">
        <f>"20200721"</f>
        <v>20200721</v>
      </c>
    </row>
    <row r="3582" spans="1:13" x14ac:dyDescent="0.25">
      <c r="A3582" t="str">
        <f>"00490717"</f>
        <v>00490717</v>
      </c>
      <c r="B3582" t="s">
        <v>2385</v>
      </c>
      <c r="C3582" t="s">
        <v>1682</v>
      </c>
      <c r="D3582" t="s">
        <v>15</v>
      </c>
      <c r="E3582" t="s">
        <v>26</v>
      </c>
      <c r="F3582" t="s">
        <v>17</v>
      </c>
      <c r="G3582" t="str">
        <f>"10"</f>
        <v>10</v>
      </c>
      <c r="H3582" t="str">
        <f>"3  "</f>
        <v xml:space="preserve">3  </v>
      </c>
      <c r="I3582" t="str">
        <f>"2018/02/06"</f>
        <v>2018/02/06</v>
      </c>
      <c r="J3582" t="str">
        <f>"110"</f>
        <v>110</v>
      </c>
      <c r="K3582" t="str">
        <f>"20220418"</f>
        <v>20220418</v>
      </c>
      <c r="L3582" t="s">
        <v>18</v>
      </c>
      <c r="M3582" t="str">
        <f>"20180206"</f>
        <v>20180206</v>
      </c>
    </row>
    <row r="3583" spans="1:13" x14ac:dyDescent="0.25">
      <c r="A3583" t="str">
        <f>"00510710"</f>
        <v>00510710</v>
      </c>
      <c r="B3583" t="s">
        <v>2388</v>
      </c>
      <c r="C3583" t="s">
        <v>525</v>
      </c>
      <c r="D3583" t="s">
        <v>45</v>
      </c>
      <c r="E3583" t="s">
        <v>26</v>
      </c>
      <c r="F3583" t="s">
        <v>17</v>
      </c>
      <c r="G3583" t="str">
        <f>"10"</f>
        <v>10</v>
      </c>
      <c r="H3583" t="str">
        <f>"3  "</f>
        <v xml:space="preserve">3  </v>
      </c>
      <c r="I3583" t="str">
        <f>"2017/09/15"</f>
        <v>2017/09/15</v>
      </c>
      <c r="J3583" t="str">
        <f>"110"</f>
        <v>110</v>
      </c>
      <c r="K3583" t="str">
        <f>"20220117"</f>
        <v>20220117</v>
      </c>
      <c r="L3583" t="s">
        <v>18</v>
      </c>
      <c r="M3583" t="str">
        <f>"20170802"</f>
        <v>20170802</v>
      </c>
    </row>
    <row r="3584" spans="1:13" x14ac:dyDescent="0.25">
      <c r="A3584" t="str">
        <f>"00467306"</f>
        <v>00467306</v>
      </c>
      <c r="B3584" t="s">
        <v>2401</v>
      </c>
      <c r="C3584" t="s">
        <v>288</v>
      </c>
      <c r="D3584" t="s">
        <v>21</v>
      </c>
      <c r="E3584" t="s">
        <v>16</v>
      </c>
      <c r="F3584" t="s">
        <v>17</v>
      </c>
      <c r="G3584" t="str">
        <f>"10"</f>
        <v>10</v>
      </c>
      <c r="H3584" t="str">
        <f>"3  "</f>
        <v xml:space="preserve">3  </v>
      </c>
      <c r="I3584" t="str">
        <f>"2020/01/17"</f>
        <v>2020/01/17</v>
      </c>
      <c r="J3584" t="str">
        <f>"502"</f>
        <v>502</v>
      </c>
      <c r="K3584" t="str">
        <f>"20210317"</f>
        <v>20210317</v>
      </c>
      <c r="L3584" t="s">
        <v>18</v>
      </c>
      <c r="M3584" t="str">
        <f>"20120805"</f>
        <v>20120805</v>
      </c>
    </row>
    <row r="3585" spans="1:13" x14ac:dyDescent="0.25">
      <c r="A3585" t="str">
        <f>"00784772"</f>
        <v>00784772</v>
      </c>
      <c r="B3585" t="s">
        <v>2405</v>
      </c>
      <c r="C3585" t="s">
        <v>2406</v>
      </c>
      <c r="D3585" t="s">
        <v>97</v>
      </c>
      <c r="E3585" t="s">
        <v>26</v>
      </c>
      <c r="F3585" t="s">
        <v>17</v>
      </c>
      <c r="G3585" t="str">
        <f>"10"</f>
        <v>10</v>
      </c>
      <c r="H3585" t="str">
        <f>"3  "</f>
        <v xml:space="preserve">3  </v>
      </c>
      <c r="I3585" t="str">
        <f>"2018/09/27"</f>
        <v>2018/09/27</v>
      </c>
      <c r="J3585" t="str">
        <f>"110"</f>
        <v>110</v>
      </c>
      <c r="K3585" t="str">
        <f>"20220611"</f>
        <v>20220611</v>
      </c>
      <c r="L3585" t="s">
        <v>18</v>
      </c>
      <c r="M3585" t="str">
        <f>"20180221"</f>
        <v>20180221</v>
      </c>
    </row>
    <row r="3586" spans="1:13" x14ac:dyDescent="0.25">
      <c r="A3586" t="str">
        <f>"00204530"</f>
        <v>00204530</v>
      </c>
      <c r="B3586" t="s">
        <v>2405</v>
      </c>
      <c r="C3586" t="s">
        <v>2407</v>
      </c>
      <c r="D3586" t="s">
        <v>45</v>
      </c>
      <c r="E3586" t="s">
        <v>26</v>
      </c>
      <c r="F3586" t="s">
        <v>17</v>
      </c>
      <c r="G3586" t="str">
        <f>"10"</f>
        <v>10</v>
      </c>
      <c r="H3586" t="str">
        <f>"3  "</f>
        <v xml:space="preserve">3  </v>
      </c>
      <c r="I3586" t="str">
        <f>"2019/05/07"</f>
        <v>2019/05/07</v>
      </c>
      <c r="J3586" t="str">
        <f>"110"</f>
        <v>110</v>
      </c>
      <c r="K3586" t="str">
        <f>"20230512"</f>
        <v>20230512</v>
      </c>
      <c r="L3586" t="s">
        <v>18</v>
      </c>
      <c r="M3586" t="str">
        <f>"20190507"</f>
        <v>20190507</v>
      </c>
    </row>
    <row r="3587" spans="1:13" x14ac:dyDescent="0.25">
      <c r="A3587" t="str">
        <f>"00895258"</f>
        <v>00895258</v>
      </c>
      <c r="B3587" t="s">
        <v>2405</v>
      </c>
      <c r="C3587" t="s">
        <v>125</v>
      </c>
      <c r="D3587" t="s">
        <v>25</v>
      </c>
      <c r="E3587" t="s">
        <v>26</v>
      </c>
      <c r="F3587" t="s">
        <v>17</v>
      </c>
      <c r="G3587" t="str">
        <f>"10"</f>
        <v>10</v>
      </c>
      <c r="H3587" t="str">
        <f>"0  "</f>
        <v xml:space="preserve">0  </v>
      </c>
      <c r="I3587" t="str">
        <f>"2020/06/01"</f>
        <v>2020/06/01</v>
      </c>
      <c r="J3587" t="str">
        <f>"420"</f>
        <v>420</v>
      </c>
      <c r="K3587" t="s">
        <v>18</v>
      </c>
      <c r="L3587" t="s">
        <v>18</v>
      </c>
      <c r="M3587" t="s">
        <v>18</v>
      </c>
    </row>
    <row r="3588" spans="1:13" x14ac:dyDescent="0.25">
      <c r="A3588" t="str">
        <f>"00257265"</f>
        <v>00257265</v>
      </c>
      <c r="B3588" t="s">
        <v>2412</v>
      </c>
      <c r="C3588" t="s">
        <v>772</v>
      </c>
      <c r="D3588" t="s">
        <v>51</v>
      </c>
      <c r="E3588" t="s">
        <v>26</v>
      </c>
      <c r="F3588" t="s">
        <v>17</v>
      </c>
      <c r="G3588" t="str">
        <f>"10"</f>
        <v>10</v>
      </c>
      <c r="H3588" t="str">
        <f>"3  "</f>
        <v xml:space="preserve">3  </v>
      </c>
      <c r="I3588" t="str">
        <f>"2020/08/23"</f>
        <v>2020/08/23</v>
      </c>
      <c r="J3588" t="str">
        <f>"110"</f>
        <v>110</v>
      </c>
      <c r="K3588" t="str">
        <f>"20210218"</f>
        <v>20210218</v>
      </c>
      <c r="L3588" t="s">
        <v>18</v>
      </c>
      <c r="M3588" t="str">
        <f>"20190420"</f>
        <v>20190420</v>
      </c>
    </row>
    <row r="3589" spans="1:13" x14ac:dyDescent="0.25">
      <c r="A3589" t="str">
        <f>"00519578"</f>
        <v>00519578</v>
      </c>
      <c r="B3589" t="s">
        <v>2413</v>
      </c>
      <c r="C3589" t="s">
        <v>1943</v>
      </c>
      <c r="D3589" t="s">
        <v>25</v>
      </c>
      <c r="E3589" t="s">
        <v>26</v>
      </c>
      <c r="F3589" t="s">
        <v>17</v>
      </c>
      <c r="G3589" t="str">
        <f>"10"</f>
        <v>10</v>
      </c>
      <c r="H3589" t="str">
        <f>"3  "</f>
        <v xml:space="preserve">3  </v>
      </c>
      <c r="I3589" t="str">
        <f>"2020/01/29"</f>
        <v>2020/01/29</v>
      </c>
      <c r="J3589" t="str">
        <f>"110"</f>
        <v>110</v>
      </c>
      <c r="K3589" t="str">
        <f>"20210623"</f>
        <v>20210623</v>
      </c>
      <c r="L3589" t="s">
        <v>18</v>
      </c>
      <c r="M3589" t="str">
        <f>"20190917"</f>
        <v>20190917</v>
      </c>
    </row>
    <row r="3590" spans="1:13" x14ac:dyDescent="0.25">
      <c r="A3590" t="str">
        <f>"00341082"</f>
        <v>00341082</v>
      </c>
      <c r="B3590" t="s">
        <v>2413</v>
      </c>
      <c r="C3590" t="s">
        <v>1062</v>
      </c>
      <c r="D3590" t="s">
        <v>45</v>
      </c>
      <c r="E3590" t="s">
        <v>26</v>
      </c>
      <c r="F3590" t="s">
        <v>17</v>
      </c>
      <c r="G3590" t="str">
        <f>"10"</f>
        <v>10</v>
      </c>
      <c r="H3590" t="str">
        <f>"3  "</f>
        <v xml:space="preserve">3  </v>
      </c>
      <c r="I3590" t="str">
        <f>"2019/09/06"</f>
        <v>2019/09/06</v>
      </c>
      <c r="J3590" t="str">
        <f>"110"</f>
        <v>110</v>
      </c>
      <c r="K3590" t="str">
        <f>"20200929"</f>
        <v>20200929</v>
      </c>
      <c r="L3590" t="s">
        <v>18</v>
      </c>
      <c r="M3590" t="str">
        <f>"20181129"</f>
        <v>20181129</v>
      </c>
    </row>
    <row r="3591" spans="1:13" x14ac:dyDescent="0.25">
      <c r="A3591" t="str">
        <f>"00522962"</f>
        <v>00522962</v>
      </c>
      <c r="B3591" t="s">
        <v>2413</v>
      </c>
      <c r="C3591" t="s">
        <v>2414</v>
      </c>
      <c r="D3591" t="s">
        <v>21</v>
      </c>
      <c r="E3591" t="s">
        <v>26</v>
      </c>
      <c r="F3591" t="s">
        <v>17</v>
      </c>
      <c r="G3591" t="str">
        <f>"10"</f>
        <v>10</v>
      </c>
      <c r="H3591" t="str">
        <f>"0  "</f>
        <v xml:space="preserve">0  </v>
      </c>
      <c r="I3591" t="str">
        <f>"2019/05/24"</f>
        <v>2019/05/24</v>
      </c>
      <c r="J3591" t="str">
        <f>"420"</f>
        <v>420</v>
      </c>
      <c r="K3591" t="s">
        <v>18</v>
      </c>
      <c r="L3591" t="s">
        <v>18</v>
      </c>
      <c r="M3591" t="s">
        <v>18</v>
      </c>
    </row>
    <row r="3592" spans="1:13" x14ac:dyDescent="0.25">
      <c r="A3592" t="str">
        <f>"00239351"</f>
        <v>00239351</v>
      </c>
      <c r="B3592" t="s">
        <v>2420</v>
      </c>
      <c r="C3592" t="s">
        <v>1829</v>
      </c>
      <c r="D3592" t="s">
        <v>61</v>
      </c>
      <c r="E3592" t="s">
        <v>16</v>
      </c>
      <c r="F3592" t="s">
        <v>17</v>
      </c>
      <c r="G3592" t="str">
        <f>"10"</f>
        <v>10</v>
      </c>
      <c r="H3592" t="str">
        <f>"0  "</f>
        <v xml:space="preserve">0  </v>
      </c>
      <c r="I3592" t="str">
        <f>"2019/08/23"</f>
        <v>2019/08/23</v>
      </c>
      <c r="J3592" t="str">
        <f>"420"</f>
        <v>420</v>
      </c>
      <c r="K3592" t="s">
        <v>18</v>
      </c>
      <c r="L3592" t="s">
        <v>18</v>
      </c>
      <c r="M3592" t="s">
        <v>18</v>
      </c>
    </row>
    <row r="3593" spans="1:13" x14ac:dyDescent="0.25">
      <c r="A3593" t="str">
        <f>"00287679"</f>
        <v>00287679</v>
      </c>
      <c r="B3593" t="s">
        <v>2425</v>
      </c>
      <c r="C3593" t="s">
        <v>2074</v>
      </c>
      <c r="D3593" t="s">
        <v>61</v>
      </c>
      <c r="E3593" t="s">
        <v>16</v>
      </c>
      <c r="F3593" t="s">
        <v>17</v>
      </c>
      <c r="G3593" t="str">
        <f>"10"</f>
        <v>10</v>
      </c>
      <c r="H3593" t="str">
        <f>"3  "</f>
        <v xml:space="preserve">3  </v>
      </c>
      <c r="I3593" t="str">
        <f>"2019/09/30"</f>
        <v>2019/09/30</v>
      </c>
      <c r="J3593" t="str">
        <f>"110"</f>
        <v>110</v>
      </c>
      <c r="K3593" t="str">
        <f>"20220523"</f>
        <v>20220523</v>
      </c>
      <c r="L3593" t="s">
        <v>18</v>
      </c>
      <c r="M3593" t="str">
        <f>"20181115"</f>
        <v>20181115</v>
      </c>
    </row>
    <row r="3594" spans="1:13" x14ac:dyDescent="0.25">
      <c r="A3594" t="str">
        <f>"00609437"</f>
        <v>00609437</v>
      </c>
      <c r="B3594" t="s">
        <v>2429</v>
      </c>
      <c r="C3594" t="s">
        <v>2431</v>
      </c>
      <c r="D3594" t="s">
        <v>77</v>
      </c>
      <c r="E3594" t="s">
        <v>26</v>
      </c>
      <c r="F3594" t="s">
        <v>17</v>
      </c>
      <c r="G3594" t="str">
        <f>"10"</f>
        <v>10</v>
      </c>
      <c r="H3594" t="str">
        <f>"0  "</f>
        <v xml:space="preserve">0  </v>
      </c>
      <c r="I3594" t="str">
        <f>"2020/08/31"</f>
        <v>2020/08/31</v>
      </c>
      <c r="J3594" t="str">
        <f>"420"</f>
        <v>420</v>
      </c>
      <c r="K3594" t="s">
        <v>18</v>
      </c>
      <c r="L3594" t="s">
        <v>18</v>
      </c>
      <c r="M3594" t="s">
        <v>18</v>
      </c>
    </row>
    <row r="3595" spans="1:13" x14ac:dyDescent="0.25">
      <c r="A3595" t="str">
        <f>"00272600"</f>
        <v>00272600</v>
      </c>
      <c r="B3595" t="s">
        <v>2432</v>
      </c>
      <c r="C3595" t="s">
        <v>1075</v>
      </c>
      <c r="D3595" t="s">
        <v>31</v>
      </c>
      <c r="E3595" t="s">
        <v>16</v>
      </c>
      <c r="F3595" t="s">
        <v>17</v>
      </c>
      <c r="G3595" t="str">
        <f>"10"</f>
        <v>10</v>
      </c>
      <c r="H3595" t="str">
        <f>"3  "</f>
        <v xml:space="preserve">3  </v>
      </c>
      <c r="I3595" t="str">
        <f>"2020/08/10"</f>
        <v>2020/08/10</v>
      </c>
      <c r="J3595" t="str">
        <f>"110"</f>
        <v>110</v>
      </c>
      <c r="K3595" t="str">
        <f>"20210702"</f>
        <v>20210702</v>
      </c>
      <c r="L3595" t="s">
        <v>18</v>
      </c>
      <c r="M3595" t="str">
        <f>"20190704"</f>
        <v>20190704</v>
      </c>
    </row>
    <row r="3596" spans="1:13" x14ac:dyDescent="0.25">
      <c r="A3596" t="str">
        <f>"00637020"</f>
        <v>00637020</v>
      </c>
      <c r="B3596" t="s">
        <v>2437</v>
      </c>
      <c r="C3596" t="s">
        <v>2438</v>
      </c>
      <c r="D3596" t="s">
        <v>25</v>
      </c>
      <c r="E3596" t="s">
        <v>26</v>
      </c>
      <c r="F3596" t="s">
        <v>17</v>
      </c>
      <c r="G3596" t="str">
        <f>"10"</f>
        <v>10</v>
      </c>
      <c r="H3596" t="str">
        <f>"3  "</f>
        <v xml:space="preserve">3  </v>
      </c>
      <c r="I3596" t="str">
        <f>"2019/01/02"</f>
        <v>2019/01/02</v>
      </c>
      <c r="J3596" t="str">
        <f>"110"</f>
        <v>110</v>
      </c>
      <c r="K3596" t="str">
        <f>"20220614"</f>
        <v>20220614</v>
      </c>
      <c r="L3596" t="s">
        <v>18</v>
      </c>
      <c r="M3596" t="str">
        <f>"20180208"</f>
        <v>20180208</v>
      </c>
    </row>
    <row r="3597" spans="1:13" x14ac:dyDescent="0.25">
      <c r="A3597" t="str">
        <f>"00506717"</f>
        <v>00506717</v>
      </c>
      <c r="B3597" t="s">
        <v>2440</v>
      </c>
      <c r="C3597" t="s">
        <v>136</v>
      </c>
      <c r="D3597" t="s">
        <v>15</v>
      </c>
      <c r="E3597" t="s">
        <v>16</v>
      </c>
      <c r="F3597" t="s">
        <v>17</v>
      </c>
      <c r="G3597" t="str">
        <f>"10"</f>
        <v>10</v>
      </c>
      <c r="H3597" t="str">
        <f>"1  "</f>
        <v xml:space="preserve">1  </v>
      </c>
      <c r="I3597" t="str">
        <f>"2020/09/04"</f>
        <v>2020/09/04</v>
      </c>
      <c r="J3597" t="str">
        <f>"110"</f>
        <v>110</v>
      </c>
      <c r="K3597" t="str">
        <f>"20201029"</f>
        <v>20201029</v>
      </c>
      <c r="L3597" t="s">
        <v>18</v>
      </c>
      <c r="M3597" t="str">
        <f>"20200904"</f>
        <v>20200904</v>
      </c>
    </row>
    <row r="3598" spans="1:13" x14ac:dyDescent="0.25">
      <c r="A3598" t="str">
        <f>"00565452"</f>
        <v>00565452</v>
      </c>
      <c r="B3598" t="s">
        <v>2443</v>
      </c>
      <c r="C3598" t="s">
        <v>1319</v>
      </c>
      <c r="D3598" t="s">
        <v>21</v>
      </c>
      <c r="E3598" t="s">
        <v>26</v>
      </c>
      <c r="F3598" t="s">
        <v>17</v>
      </c>
      <c r="G3598" t="str">
        <f>"10"</f>
        <v>10</v>
      </c>
      <c r="H3598" t="str">
        <f>"3  "</f>
        <v xml:space="preserve">3  </v>
      </c>
      <c r="I3598" t="str">
        <f>"2016/01/12"</f>
        <v>2016/01/12</v>
      </c>
      <c r="J3598" t="str">
        <f>"110"</f>
        <v>110</v>
      </c>
      <c r="K3598" t="str">
        <f>"20220708"</f>
        <v>20220708</v>
      </c>
      <c r="L3598" t="s">
        <v>18</v>
      </c>
      <c r="M3598" t="str">
        <f>"20151014"</f>
        <v>20151014</v>
      </c>
    </row>
    <row r="3599" spans="1:13" x14ac:dyDescent="0.25">
      <c r="A3599" t="str">
        <f>"00191017"</f>
        <v>00191017</v>
      </c>
      <c r="B3599" t="s">
        <v>2448</v>
      </c>
      <c r="C3599" t="s">
        <v>1775</v>
      </c>
      <c r="D3599" t="s">
        <v>53</v>
      </c>
      <c r="E3599" t="s">
        <v>16</v>
      </c>
      <c r="F3599" t="s">
        <v>17</v>
      </c>
      <c r="G3599" t="str">
        <f>"10"</f>
        <v>10</v>
      </c>
      <c r="H3599" t="str">
        <f>"3  "</f>
        <v xml:space="preserve">3  </v>
      </c>
      <c r="I3599" t="str">
        <f>"2019/03/14"</f>
        <v>2019/03/14</v>
      </c>
      <c r="J3599" t="str">
        <f>"110"</f>
        <v>110</v>
      </c>
      <c r="K3599" t="str">
        <f>"20220130"</f>
        <v>20220130</v>
      </c>
      <c r="L3599" t="s">
        <v>18</v>
      </c>
      <c r="M3599" t="str">
        <f>"20190225"</f>
        <v>20190225</v>
      </c>
    </row>
    <row r="3600" spans="1:13" x14ac:dyDescent="0.25">
      <c r="A3600" t="str">
        <f>"00627332"</f>
        <v>00627332</v>
      </c>
      <c r="B3600" t="s">
        <v>2453</v>
      </c>
      <c r="C3600" t="s">
        <v>969</v>
      </c>
      <c r="D3600" t="s">
        <v>21</v>
      </c>
      <c r="E3600" t="s">
        <v>26</v>
      </c>
      <c r="F3600" t="s">
        <v>17</v>
      </c>
      <c r="G3600" t="str">
        <f>"10"</f>
        <v>10</v>
      </c>
      <c r="H3600" t="str">
        <f>"1  "</f>
        <v xml:space="preserve">1  </v>
      </c>
      <c r="I3600" t="str">
        <f>"2020/09/18"</f>
        <v>2020/09/18</v>
      </c>
      <c r="J3600" t="str">
        <f>"503"</f>
        <v>503</v>
      </c>
      <c r="K3600" t="str">
        <f>"20201214"</f>
        <v>20201214</v>
      </c>
      <c r="L3600" t="s">
        <v>18</v>
      </c>
      <c r="M3600" t="str">
        <f>"20200825"</f>
        <v>20200825</v>
      </c>
    </row>
    <row r="3601" spans="1:13" x14ac:dyDescent="0.25">
      <c r="A3601" t="str">
        <f>"00822318"</f>
        <v>00822318</v>
      </c>
      <c r="B3601" t="s">
        <v>2458</v>
      </c>
      <c r="C3601" t="s">
        <v>1102</v>
      </c>
      <c r="D3601" t="s">
        <v>25</v>
      </c>
      <c r="E3601" t="s">
        <v>16</v>
      </c>
      <c r="F3601" t="s">
        <v>17</v>
      </c>
      <c r="G3601" t="str">
        <f>"10"</f>
        <v>10</v>
      </c>
      <c r="H3601" t="str">
        <f>"0  "</f>
        <v xml:space="preserve">0  </v>
      </c>
      <c r="I3601" t="str">
        <f>"2020/07/19"</f>
        <v>2020/07/19</v>
      </c>
      <c r="J3601" t="str">
        <f>"512"</f>
        <v>512</v>
      </c>
      <c r="K3601" t="s">
        <v>18</v>
      </c>
      <c r="L3601" t="s">
        <v>18</v>
      </c>
      <c r="M3601" t="s">
        <v>18</v>
      </c>
    </row>
    <row r="3602" spans="1:13" x14ac:dyDescent="0.25">
      <c r="A3602" t="str">
        <f>"00351088"</f>
        <v>00351088</v>
      </c>
      <c r="B3602" t="s">
        <v>2460</v>
      </c>
      <c r="C3602" t="s">
        <v>164</v>
      </c>
      <c r="D3602" t="s">
        <v>182</v>
      </c>
      <c r="E3602" t="s">
        <v>26</v>
      </c>
      <c r="F3602" t="s">
        <v>17</v>
      </c>
      <c r="G3602" t="str">
        <f>"10"</f>
        <v>10</v>
      </c>
      <c r="H3602" t="str">
        <f>"3  "</f>
        <v xml:space="preserve">3  </v>
      </c>
      <c r="I3602" t="str">
        <f>"2018/08/13"</f>
        <v>2018/08/13</v>
      </c>
      <c r="J3602" t="str">
        <f>"110"</f>
        <v>110</v>
      </c>
      <c r="K3602" t="str">
        <f>"20250714"</f>
        <v>20250714</v>
      </c>
      <c r="L3602" t="s">
        <v>18</v>
      </c>
      <c r="M3602" t="str">
        <f>"20170717"</f>
        <v>20170717</v>
      </c>
    </row>
    <row r="3603" spans="1:13" x14ac:dyDescent="0.25">
      <c r="A3603" t="str">
        <f>"00325146"</f>
        <v>00325146</v>
      </c>
      <c r="B3603" t="s">
        <v>2460</v>
      </c>
      <c r="C3603" t="s">
        <v>304</v>
      </c>
      <c r="D3603" t="s">
        <v>47</v>
      </c>
      <c r="E3603" t="s">
        <v>26</v>
      </c>
      <c r="F3603" t="s">
        <v>17</v>
      </c>
      <c r="G3603" t="str">
        <f>"10"</f>
        <v>10</v>
      </c>
      <c r="H3603" t="str">
        <f>"3  "</f>
        <v xml:space="preserve">3  </v>
      </c>
      <c r="I3603" t="str">
        <f>"2018/10/09"</f>
        <v>2018/10/09</v>
      </c>
      <c r="J3603" t="str">
        <f>"120"</f>
        <v>120</v>
      </c>
      <c r="K3603" t="str">
        <f>"20290215"</f>
        <v>20290215</v>
      </c>
      <c r="L3603" t="s">
        <v>18</v>
      </c>
      <c r="M3603" t="str">
        <f>"20180913"</f>
        <v>20180913</v>
      </c>
    </row>
    <row r="3604" spans="1:13" x14ac:dyDescent="0.25">
      <c r="A3604" t="str">
        <f>"00678160"</f>
        <v>00678160</v>
      </c>
      <c r="B3604" t="s">
        <v>2465</v>
      </c>
      <c r="C3604" t="s">
        <v>327</v>
      </c>
      <c r="D3604" t="s">
        <v>61</v>
      </c>
      <c r="E3604" t="s">
        <v>16</v>
      </c>
      <c r="F3604" t="s">
        <v>17</v>
      </c>
      <c r="G3604" t="str">
        <f>"10"</f>
        <v>10</v>
      </c>
      <c r="H3604" t="str">
        <f>"3  "</f>
        <v xml:space="preserve">3  </v>
      </c>
      <c r="I3604" t="str">
        <f>"2020/02/04"</f>
        <v>2020/02/04</v>
      </c>
      <c r="J3604" t="str">
        <f>"512"</f>
        <v>512</v>
      </c>
      <c r="K3604" t="str">
        <f>"20220816"</f>
        <v>20220816</v>
      </c>
      <c r="L3604" t="s">
        <v>18</v>
      </c>
      <c r="M3604" t="str">
        <f>"20191225"</f>
        <v>20191225</v>
      </c>
    </row>
    <row r="3605" spans="1:13" x14ac:dyDescent="0.25">
      <c r="A3605" t="str">
        <f>"00761519"</f>
        <v>00761519</v>
      </c>
      <c r="B3605" t="s">
        <v>2465</v>
      </c>
      <c r="C3605" t="s">
        <v>2468</v>
      </c>
      <c r="D3605" t="s">
        <v>25</v>
      </c>
      <c r="E3605" t="s">
        <v>26</v>
      </c>
      <c r="F3605" t="s">
        <v>17</v>
      </c>
      <c r="G3605" t="str">
        <f>"10"</f>
        <v>10</v>
      </c>
      <c r="H3605" t="str">
        <f>"3  "</f>
        <v xml:space="preserve">3  </v>
      </c>
      <c r="I3605" t="str">
        <f>"2020/02/28"</f>
        <v>2020/02/28</v>
      </c>
      <c r="J3605" t="str">
        <f>"110"</f>
        <v>110</v>
      </c>
      <c r="K3605" t="str">
        <f>"20220826"</f>
        <v>20220826</v>
      </c>
      <c r="L3605" t="s">
        <v>18</v>
      </c>
      <c r="M3605" t="str">
        <f>"20191204"</f>
        <v>20191204</v>
      </c>
    </row>
    <row r="3606" spans="1:13" x14ac:dyDescent="0.25">
      <c r="A3606" t="str">
        <f>"00922188"</f>
        <v>00922188</v>
      </c>
      <c r="B3606" t="s">
        <v>2465</v>
      </c>
      <c r="C3606" t="s">
        <v>1175</v>
      </c>
      <c r="D3606" t="s">
        <v>61</v>
      </c>
      <c r="E3606" t="s">
        <v>16</v>
      </c>
      <c r="F3606" t="s">
        <v>17</v>
      </c>
      <c r="G3606" t="str">
        <f>"10"</f>
        <v>10</v>
      </c>
      <c r="H3606" t="str">
        <f>"0  "</f>
        <v xml:space="preserve">0  </v>
      </c>
      <c r="I3606" t="str">
        <f>"2019/12/12"</f>
        <v>2019/12/12</v>
      </c>
      <c r="J3606" t="str">
        <f>"420"</f>
        <v>420</v>
      </c>
      <c r="K3606" t="s">
        <v>18</v>
      </c>
      <c r="L3606" t="s">
        <v>18</v>
      </c>
      <c r="M3606" t="s">
        <v>18</v>
      </c>
    </row>
    <row r="3607" spans="1:13" x14ac:dyDescent="0.25">
      <c r="A3607" t="str">
        <f>"00315471"</f>
        <v>00315471</v>
      </c>
      <c r="B3607" t="s">
        <v>2465</v>
      </c>
      <c r="C3607" t="s">
        <v>2469</v>
      </c>
      <c r="D3607" t="s">
        <v>21</v>
      </c>
      <c r="E3607" t="s">
        <v>26</v>
      </c>
      <c r="F3607" t="s">
        <v>17</v>
      </c>
      <c r="G3607" t="str">
        <f>"10"</f>
        <v>10</v>
      </c>
      <c r="H3607" t="str">
        <f>"3  "</f>
        <v xml:space="preserve">3  </v>
      </c>
      <c r="I3607" t="str">
        <f>"2015/09/22"</f>
        <v>2015/09/22</v>
      </c>
      <c r="J3607" t="str">
        <f>"110"</f>
        <v>110</v>
      </c>
      <c r="K3607" t="str">
        <f>"20230520"</f>
        <v>20230520</v>
      </c>
      <c r="L3607" t="s">
        <v>18</v>
      </c>
      <c r="M3607" t="str">
        <f>"20141226"</f>
        <v>20141226</v>
      </c>
    </row>
    <row r="3608" spans="1:13" x14ac:dyDescent="0.25">
      <c r="A3608" t="str">
        <f>"00929028"</f>
        <v>00929028</v>
      </c>
      <c r="B3608" t="s">
        <v>2470</v>
      </c>
      <c r="C3608" t="s">
        <v>1218</v>
      </c>
      <c r="D3608" t="s">
        <v>37</v>
      </c>
      <c r="E3608" t="s">
        <v>16</v>
      </c>
      <c r="F3608" t="s">
        <v>17</v>
      </c>
      <c r="G3608" t="str">
        <f>"10"</f>
        <v>10</v>
      </c>
      <c r="H3608" t="str">
        <f>"0  "</f>
        <v xml:space="preserve">0  </v>
      </c>
      <c r="I3608" t="str">
        <f>"2020/07/30"</f>
        <v>2020/07/30</v>
      </c>
      <c r="J3608" t="str">
        <f>"420"</f>
        <v>420</v>
      </c>
      <c r="K3608" t="s">
        <v>18</v>
      </c>
      <c r="L3608" t="s">
        <v>18</v>
      </c>
      <c r="M3608" t="s">
        <v>18</v>
      </c>
    </row>
    <row r="3609" spans="1:13" x14ac:dyDescent="0.25">
      <c r="A3609" t="str">
        <f>"00518164"</f>
        <v>00518164</v>
      </c>
      <c r="B3609" t="s">
        <v>2475</v>
      </c>
      <c r="C3609" t="s">
        <v>140</v>
      </c>
      <c r="D3609" t="s">
        <v>61</v>
      </c>
      <c r="E3609" t="s">
        <v>16</v>
      </c>
      <c r="F3609" t="s">
        <v>17</v>
      </c>
      <c r="G3609" t="str">
        <f>"10"</f>
        <v>10</v>
      </c>
      <c r="H3609" t="str">
        <f>"0  "</f>
        <v xml:space="preserve">0  </v>
      </c>
      <c r="I3609" t="str">
        <f>"2020/08/13"</f>
        <v>2020/08/13</v>
      </c>
      <c r="J3609" t="str">
        <f>"420"</f>
        <v>420</v>
      </c>
      <c r="K3609" t="s">
        <v>18</v>
      </c>
      <c r="L3609" t="s">
        <v>18</v>
      </c>
      <c r="M3609" t="s">
        <v>18</v>
      </c>
    </row>
    <row r="3610" spans="1:13" x14ac:dyDescent="0.25">
      <c r="A3610" t="str">
        <f>"00247416"</f>
        <v>00247416</v>
      </c>
      <c r="B3610" t="s">
        <v>2475</v>
      </c>
      <c r="C3610" t="s">
        <v>308</v>
      </c>
      <c r="D3610" t="s">
        <v>21</v>
      </c>
      <c r="E3610" t="s">
        <v>16</v>
      </c>
      <c r="F3610" t="s">
        <v>17</v>
      </c>
      <c r="G3610" t="str">
        <f>"10"</f>
        <v>10</v>
      </c>
      <c r="H3610" t="str">
        <f>"0  "</f>
        <v xml:space="preserve">0  </v>
      </c>
      <c r="I3610" t="str">
        <f>"2019/04/18"</f>
        <v>2019/04/18</v>
      </c>
      <c r="J3610" t="str">
        <f>"420"</f>
        <v>420</v>
      </c>
      <c r="K3610" t="s">
        <v>18</v>
      </c>
      <c r="L3610" t="s">
        <v>18</v>
      </c>
      <c r="M3610" t="s">
        <v>18</v>
      </c>
    </row>
    <row r="3611" spans="1:13" x14ac:dyDescent="0.25">
      <c r="A3611" t="str">
        <f>"00302504"</f>
        <v>00302504</v>
      </c>
      <c r="B3611" t="s">
        <v>2476</v>
      </c>
      <c r="C3611" t="s">
        <v>118</v>
      </c>
      <c r="D3611" t="s">
        <v>80</v>
      </c>
      <c r="E3611" t="s">
        <v>16</v>
      </c>
      <c r="F3611" t="s">
        <v>17</v>
      </c>
      <c r="G3611" t="str">
        <f>"10"</f>
        <v>10</v>
      </c>
      <c r="H3611" t="str">
        <f>"3  "</f>
        <v xml:space="preserve">3  </v>
      </c>
      <c r="I3611" t="str">
        <f>"2019/01/13"</f>
        <v>2019/01/13</v>
      </c>
      <c r="J3611" t="str">
        <f>"110"</f>
        <v>110</v>
      </c>
      <c r="K3611" t="str">
        <f>"20210823"</f>
        <v>20210823</v>
      </c>
      <c r="L3611" t="s">
        <v>18</v>
      </c>
      <c r="M3611" t="str">
        <f>"20180108"</f>
        <v>20180108</v>
      </c>
    </row>
    <row r="3612" spans="1:13" x14ac:dyDescent="0.25">
      <c r="A3612" t="str">
        <f>"00707417"</f>
        <v>00707417</v>
      </c>
      <c r="B3612" t="s">
        <v>2477</v>
      </c>
      <c r="C3612" t="s">
        <v>2478</v>
      </c>
      <c r="D3612" t="s">
        <v>31</v>
      </c>
      <c r="E3612" t="s">
        <v>26</v>
      </c>
      <c r="F3612" t="s">
        <v>17</v>
      </c>
      <c r="G3612" t="str">
        <f>"10"</f>
        <v>10</v>
      </c>
      <c r="H3612" t="str">
        <f>"0  "</f>
        <v xml:space="preserve">0  </v>
      </c>
      <c r="I3612" t="str">
        <f>"2020/03/26"</f>
        <v>2020/03/26</v>
      </c>
      <c r="J3612" t="str">
        <f>"420"</f>
        <v>420</v>
      </c>
      <c r="K3612" t="s">
        <v>18</v>
      </c>
      <c r="L3612" t="s">
        <v>18</v>
      </c>
      <c r="M3612" t="s">
        <v>18</v>
      </c>
    </row>
    <row r="3613" spans="1:13" x14ac:dyDescent="0.25">
      <c r="A3613" t="str">
        <f>"00902552"</f>
        <v>00902552</v>
      </c>
      <c r="B3613" t="s">
        <v>2481</v>
      </c>
      <c r="C3613" t="s">
        <v>232</v>
      </c>
      <c r="D3613" t="s">
        <v>25</v>
      </c>
      <c r="E3613" t="s">
        <v>16</v>
      </c>
      <c r="F3613" t="s">
        <v>17</v>
      </c>
      <c r="G3613" t="str">
        <f>"10"</f>
        <v>10</v>
      </c>
      <c r="H3613" t="str">
        <f>"1  "</f>
        <v xml:space="preserve">1  </v>
      </c>
      <c r="I3613" t="str">
        <f>"2020/01/31"</f>
        <v>2020/01/31</v>
      </c>
      <c r="J3613" t="str">
        <f>"110"</f>
        <v>110</v>
      </c>
      <c r="K3613" t="str">
        <f>"20201227"</f>
        <v>20201227</v>
      </c>
      <c r="L3613" t="s">
        <v>18</v>
      </c>
      <c r="M3613" t="str">
        <f>"20200131"</f>
        <v>20200131</v>
      </c>
    </row>
    <row r="3614" spans="1:13" x14ac:dyDescent="0.25">
      <c r="A3614" t="str">
        <f>"00184637"</f>
        <v>00184637</v>
      </c>
      <c r="B3614" t="s">
        <v>2485</v>
      </c>
      <c r="C3614" t="s">
        <v>22</v>
      </c>
      <c r="D3614" t="s">
        <v>15</v>
      </c>
      <c r="E3614" t="s">
        <v>26</v>
      </c>
      <c r="F3614" t="s">
        <v>17</v>
      </c>
      <c r="G3614" t="str">
        <f>"10"</f>
        <v>10</v>
      </c>
      <c r="H3614" t="str">
        <f>"0  "</f>
        <v xml:space="preserve">0  </v>
      </c>
      <c r="I3614" t="str">
        <f>"2020/08/29"</f>
        <v>2020/08/29</v>
      </c>
      <c r="J3614" t="str">
        <f>"420"</f>
        <v>420</v>
      </c>
      <c r="K3614" t="s">
        <v>18</v>
      </c>
      <c r="L3614" t="s">
        <v>18</v>
      </c>
      <c r="M3614" t="s">
        <v>18</v>
      </c>
    </row>
    <row r="3615" spans="1:13" x14ac:dyDescent="0.25">
      <c r="A3615" t="str">
        <f>"00833617"</f>
        <v>00833617</v>
      </c>
      <c r="B3615" t="s">
        <v>2492</v>
      </c>
      <c r="C3615" t="s">
        <v>2493</v>
      </c>
      <c r="D3615" t="s">
        <v>16</v>
      </c>
      <c r="E3615" t="s">
        <v>26</v>
      </c>
      <c r="F3615" t="s">
        <v>17</v>
      </c>
      <c r="G3615" t="str">
        <f>"10"</f>
        <v>10</v>
      </c>
      <c r="H3615" t="str">
        <f>"3  "</f>
        <v xml:space="preserve">3  </v>
      </c>
      <c r="I3615" t="str">
        <f>"2019/08/06"</f>
        <v>2019/08/06</v>
      </c>
      <c r="J3615" t="str">
        <f>"110"</f>
        <v>110</v>
      </c>
      <c r="K3615" t="str">
        <f>"20211201"</f>
        <v>20211201</v>
      </c>
      <c r="L3615" t="s">
        <v>18</v>
      </c>
      <c r="M3615" t="str">
        <f>"20160215"</f>
        <v>20160215</v>
      </c>
    </row>
    <row r="3616" spans="1:13" x14ac:dyDescent="0.25">
      <c r="A3616" t="str">
        <f>"00288847"</f>
        <v>00288847</v>
      </c>
      <c r="B3616" t="s">
        <v>2494</v>
      </c>
      <c r="C3616" t="s">
        <v>191</v>
      </c>
      <c r="D3616" t="s">
        <v>21</v>
      </c>
      <c r="E3616" t="s">
        <v>26</v>
      </c>
      <c r="F3616" t="s">
        <v>17</v>
      </c>
      <c r="G3616" t="str">
        <f>"10"</f>
        <v>10</v>
      </c>
      <c r="H3616" t="str">
        <f>"3  "</f>
        <v xml:space="preserve">3  </v>
      </c>
      <c r="I3616" t="str">
        <f>"2020/03/06"</f>
        <v>2020/03/06</v>
      </c>
      <c r="J3616" t="str">
        <f>"502"</f>
        <v>502</v>
      </c>
      <c r="K3616" t="str">
        <f>"20290802"</f>
        <v>20290802</v>
      </c>
      <c r="L3616" t="s">
        <v>18</v>
      </c>
      <c r="M3616" t="str">
        <f>"20160615"</f>
        <v>20160615</v>
      </c>
    </row>
    <row r="3617" spans="1:13" x14ac:dyDescent="0.25">
      <c r="A3617" t="str">
        <f>"00443027"</f>
        <v>00443027</v>
      </c>
      <c r="B3617" t="s">
        <v>2497</v>
      </c>
      <c r="C3617" t="s">
        <v>333</v>
      </c>
      <c r="D3617" t="s">
        <v>80</v>
      </c>
      <c r="E3617" t="s">
        <v>16</v>
      </c>
      <c r="F3617" t="s">
        <v>17</v>
      </c>
      <c r="G3617" t="str">
        <f>"10"</f>
        <v>10</v>
      </c>
      <c r="H3617" t="str">
        <f>"3  "</f>
        <v xml:space="preserve">3  </v>
      </c>
      <c r="I3617" t="str">
        <f>"2015/04/27"</f>
        <v>2015/04/27</v>
      </c>
      <c r="J3617" t="str">
        <f>"110"</f>
        <v>110</v>
      </c>
      <c r="K3617" t="str">
        <f>"20211012"</f>
        <v>20211012</v>
      </c>
      <c r="L3617" t="s">
        <v>18</v>
      </c>
      <c r="M3617" t="str">
        <f>"20140727"</f>
        <v>20140727</v>
      </c>
    </row>
    <row r="3618" spans="1:13" x14ac:dyDescent="0.25">
      <c r="A3618" t="str">
        <f>"00915117"</f>
        <v>00915117</v>
      </c>
      <c r="B3618" t="s">
        <v>2498</v>
      </c>
      <c r="C3618" t="s">
        <v>2499</v>
      </c>
      <c r="D3618" t="s">
        <v>25</v>
      </c>
      <c r="E3618" t="s">
        <v>16</v>
      </c>
      <c r="F3618" t="s">
        <v>17</v>
      </c>
      <c r="G3618" t="str">
        <f>"10"</f>
        <v>10</v>
      </c>
      <c r="H3618" t="str">
        <f>"0  "</f>
        <v xml:space="preserve">0  </v>
      </c>
      <c r="I3618" t="str">
        <f>"2020/07/07"</f>
        <v>2020/07/07</v>
      </c>
      <c r="J3618" t="str">
        <f>"420"</f>
        <v>420</v>
      </c>
      <c r="K3618" t="s">
        <v>18</v>
      </c>
      <c r="L3618" t="s">
        <v>18</v>
      </c>
      <c r="M3618" t="s">
        <v>18</v>
      </c>
    </row>
    <row r="3619" spans="1:13" x14ac:dyDescent="0.25">
      <c r="A3619" t="str">
        <f>"00203200"</f>
        <v>00203200</v>
      </c>
      <c r="B3619" t="s">
        <v>2502</v>
      </c>
      <c r="C3619" t="s">
        <v>2504</v>
      </c>
      <c r="D3619" t="s">
        <v>61</v>
      </c>
      <c r="E3619" t="s">
        <v>26</v>
      </c>
      <c r="F3619" t="s">
        <v>17</v>
      </c>
      <c r="G3619" t="str">
        <f>"10"</f>
        <v>10</v>
      </c>
      <c r="H3619" t="str">
        <f>"3  "</f>
        <v xml:space="preserve">3  </v>
      </c>
      <c r="I3619" t="str">
        <f>"2017/08/16"</f>
        <v>2017/08/16</v>
      </c>
      <c r="J3619" t="str">
        <f>"110"</f>
        <v>110</v>
      </c>
      <c r="K3619" t="str">
        <f>"20210819"</f>
        <v>20210819</v>
      </c>
      <c r="L3619" t="s">
        <v>18</v>
      </c>
      <c r="M3619" t="str">
        <f>"20160913"</f>
        <v>20160913</v>
      </c>
    </row>
    <row r="3620" spans="1:13" x14ac:dyDescent="0.25">
      <c r="A3620" t="str">
        <f>"00649100"</f>
        <v>00649100</v>
      </c>
      <c r="B3620" t="s">
        <v>2502</v>
      </c>
      <c r="C3620" t="s">
        <v>2505</v>
      </c>
      <c r="D3620" t="s">
        <v>51</v>
      </c>
      <c r="E3620" t="s">
        <v>26</v>
      </c>
      <c r="F3620" t="s">
        <v>17</v>
      </c>
      <c r="G3620" t="str">
        <f>"10"</f>
        <v>10</v>
      </c>
      <c r="H3620" t="str">
        <f>"0  "</f>
        <v xml:space="preserve">0  </v>
      </c>
      <c r="I3620" t="str">
        <f>"2020/08/05"</f>
        <v>2020/08/05</v>
      </c>
      <c r="J3620" t="str">
        <f>"420"</f>
        <v>420</v>
      </c>
      <c r="K3620" t="s">
        <v>18</v>
      </c>
      <c r="L3620" t="s">
        <v>18</v>
      </c>
      <c r="M3620" t="s">
        <v>18</v>
      </c>
    </row>
    <row r="3621" spans="1:13" x14ac:dyDescent="0.25">
      <c r="A3621" t="str">
        <f>"00566235"</f>
        <v>00566235</v>
      </c>
      <c r="B3621" t="s">
        <v>2506</v>
      </c>
      <c r="C3621" t="s">
        <v>627</v>
      </c>
      <c r="D3621" t="s">
        <v>45</v>
      </c>
      <c r="E3621" t="s">
        <v>26</v>
      </c>
      <c r="F3621" t="s">
        <v>17</v>
      </c>
      <c r="G3621" t="str">
        <f>"10"</f>
        <v>10</v>
      </c>
      <c r="H3621" t="str">
        <f>"3  "</f>
        <v xml:space="preserve">3  </v>
      </c>
      <c r="I3621" t="str">
        <f>"2019/05/10"</f>
        <v>2019/05/10</v>
      </c>
      <c r="J3621" t="str">
        <f>"110"</f>
        <v>110</v>
      </c>
      <c r="K3621" t="str">
        <f>"20210711"</f>
        <v>20210711</v>
      </c>
      <c r="L3621" t="s">
        <v>18</v>
      </c>
      <c r="M3621" t="str">
        <f>"20181107"</f>
        <v>20181107</v>
      </c>
    </row>
    <row r="3622" spans="1:13" x14ac:dyDescent="0.25">
      <c r="A3622" t="str">
        <f>"00916512"</f>
        <v>00916512</v>
      </c>
      <c r="B3622" t="s">
        <v>2507</v>
      </c>
      <c r="C3622" t="s">
        <v>2508</v>
      </c>
      <c r="D3622" t="s">
        <v>25</v>
      </c>
      <c r="E3622" t="s">
        <v>26</v>
      </c>
      <c r="F3622" t="s">
        <v>17</v>
      </c>
      <c r="G3622" t="str">
        <f>"10"</f>
        <v>10</v>
      </c>
      <c r="H3622" t="str">
        <f>"0  "</f>
        <v xml:space="preserve">0  </v>
      </c>
      <c r="I3622" t="str">
        <f>"2020/02/10"</f>
        <v>2020/02/10</v>
      </c>
      <c r="J3622" t="str">
        <f>"420"</f>
        <v>420</v>
      </c>
      <c r="K3622" t="s">
        <v>18</v>
      </c>
      <c r="L3622" t="s">
        <v>18</v>
      </c>
      <c r="M3622" t="s">
        <v>18</v>
      </c>
    </row>
    <row r="3623" spans="1:13" x14ac:dyDescent="0.25">
      <c r="A3623" t="str">
        <f>"00785257"</f>
        <v>00785257</v>
      </c>
      <c r="B3623" t="s">
        <v>2509</v>
      </c>
      <c r="C3623" t="s">
        <v>2512</v>
      </c>
      <c r="D3623" t="s">
        <v>25</v>
      </c>
      <c r="E3623" t="s">
        <v>26</v>
      </c>
      <c r="F3623" t="s">
        <v>17</v>
      </c>
      <c r="G3623" t="str">
        <f>"10"</f>
        <v>10</v>
      </c>
      <c r="H3623" t="str">
        <f>"0  "</f>
        <v xml:space="preserve">0  </v>
      </c>
      <c r="I3623" t="str">
        <f>"2020/09/17"</f>
        <v>2020/09/17</v>
      </c>
      <c r="J3623" t="str">
        <f>"420"</f>
        <v>420</v>
      </c>
      <c r="K3623" t="s">
        <v>18</v>
      </c>
      <c r="L3623" t="s">
        <v>18</v>
      </c>
      <c r="M3623" t="s">
        <v>18</v>
      </c>
    </row>
    <row r="3624" spans="1:13" x14ac:dyDescent="0.25">
      <c r="A3624" t="str">
        <f>"00365588"</f>
        <v>00365588</v>
      </c>
      <c r="B3624" t="s">
        <v>2513</v>
      </c>
      <c r="C3624" t="s">
        <v>2187</v>
      </c>
      <c r="D3624" t="s">
        <v>16</v>
      </c>
      <c r="E3624" t="s">
        <v>26</v>
      </c>
      <c r="F3624" t="s">
        <v>17</v>
      </c>
      <c r="G3624" t="str">
        <f>"10"</f>
        <v>10</v>
      </c>
      <c r="H3624" t="str">
        <f>"0  "</f>
        <v xml:space="preserve">0  </v>
      </c>
      <c r="I3624" t="str">
        <f>"2020/07/09"</f>
        <v>2020/07/09</v>
      </c>
      <c r="J3624" t="str">
        <f>"420"</f>
        <v>420</v>
      </c>
      <c r="K3624" t="s">
        <v>18</v>
      </c>
      <c r="L3624" t="s">
        <v>18</v>
      </c>
      <c r="M3624" t="s">
        <v>18</v>
      </c>
    </row>
    <row r="3625" spans="1:13" x14ac:dyDescent="0.25">
      <c r="A3625" t="str">
        <f>"00542791"</f>
        <v>00542791</v>
      </c>
      <c r="B3625" t="s">
        <v>2519</v>
      </c>
      <c r="C3625" t="s">
        <v>624</v>
      </c>
      <c r="D3625" t="s">
        <v>40</v>
      </c>
      <c r="E3625" t="s">
        <v>26</v>
      </c>
      <c r="F3625" t="s">
        <v>17</v>
      </c>
      <c r="G3625" t="str">
        <f>"10"</f>
        <v>10</v>
      </c>
      <c r="H3625" t="str">
        <f>"0  "</f>
        <v xml:space="preserve">0  </v>
      </c>
      <c r="I3625" t="str">
        <f>"2019/09/26"</f>
        <v>2019/09/26</v>
      </c>
      <c r="J3625" t="str">
        <f>"420"</f>
        <v>420</v>
      </c>
      <c r="K3625" t="s">
        <v>18</v>
      </c>
      <c r="L3625" t="s">
        <v>18</v>
      </c>
      <c r="M3625" t="s">
        <v>18</v>
      </c>
    </row>
    <row r="3626" spans="1:13" x14ac:dyDescent="0.25">
      <c r="A3626" t="str">
        <f>"00633190"</f>
        <v>00633190</v>
      </c>
      <c r="B3626" t="s">
        <v>2526</v>
      </c>
      <c r="C3626" t="s">
        <v>811</v>
      </c>
      <c r="D3626" t="s">
        <v>37</v>
      </c>
      <c r="E3626" t="s">
        <v>26</v>
      </c>
      <c r="F3626" t="s">
        <v>17</v>
      </c>
      <c r="G3626" t="str">
        <f>"10"</f>
        <v>10</v>
      </c>
      <c r="H3626" t="str">
        <f>"0  "</f>
        <v xml:space="preserve">0  </v>
      </c>
      <c r="I3626" t="str">
        <f>"2020/05/13"</f>
        <v>2020/05/13</v>
      </c>
      <c r="J3626" t="str">
        <f>"420"</f>
        <v>420</v>
      </c>
      <c r="K3626" t="s">
        <v>18</v>
      </c>
      <c r="L3626" t="s">
        <v>18</v>
      </c>
      <c r="M3626" t="s">
        <v>18</v>
      </c>
    </row>
    <row r="3627" spans="1:13" x14ac:dyDescent="0.25">
      <c r="A3627" t="str">
        <f>"00207719"</f>
        <v>00207719</v>
      </c>
      <c r="B3627" t="s">
        <v>2527</v>
      </c>
      <c r="C3627" t="s">
        <v>308</v>
      </c>
      <c r="D3627" t="s">
        <v>91</v>
      </c>
      <c r="E3627" t="s">
        <v>26</v>
      </c>
      <c r="F3627" t="s">
        <v>17</v>
      </c>
      <c r="G3627" t="str">
        <f>"10"</f>
        <v>10</v>
      </c>
      <c r="H3627" t="str">
        <f>"3  "</f>
        <v xml:space="preserve">3  </v>
      </c>
      <c r="I3627" t="str">
        <f>"2016/04/27"</f>
        <v>2016/04/27</v>
      </c>
      <c r="J3627" t="str">
        <f>"110"</f>
        <v>110</v>
      </c>
      <c r="K3627" t="str">
        <f>"20220503"</f>
        <v>20220503</v>
      </c>
      <c r="L3627" t="s">
        <v>18</v>
      </c>
      <c r="M3627" t="str">
        <f>"20150903"</f>
        <v>20150903</v>
      </c>
    </row>
    <row r="3628" spans="1:13" x14ac:dyDescent="0.25">
      <c r="A3628" t="str">
        <f>"00456427"</f>
        <v>00456427</v>
      </c>
      <c r="B3628" t="s">
        <v>2528</v>
      </c>
      <c r="C3628" t="s">
        <v>156</v>
      </c>
      <c r="D3628" t="s">
        <v>25</v>
      </c>
      <c r="E3628" t="s">
        <v>26</v>
      </c>
      <c r="F3628" t="s">
        <v>17</v>
      </c>
      <c r="G3628" t="str">
        <f>"10"</f>
        <v>10</v>
      </c>
      <c r="H3628" t="str">
        <f>"3  "</f>
        <v xml:space="preserve">3  </v>
      </c>
      <c r="I3628" t="str">
        <f>"2016/07/19"</f>
        <v>2016/07/19</v>
      </c>
      <c r="J3628" t="str">
        <f>"120"</f>
        <v>120</v>
      </c>
      <c r="K3628" t="str">
        <f>"20210325"</f>
        <v>20210325</v>
      </c>
      <c r="L3628" t="s">
        <v>18</v>
      </c>
      <c r="M3628" t="str">
        <f>"20160318"</f>
        <v>20160318</v>
      </c>
    </row>
    <row r="3629" spans="1:13" x14ac:dyDescent="0.25">
      <c r="A3629" t="str">
        <f>"00628252"</f>
        <v>00628252</v>
      </c>
      <c r="B3629" t="s">
        <v>2532</v>
      </c>
      <c r="C3629" t="s">
        <v>2296</v>
      </c>
      <c r="D3629" t="s">
        <v>15</v>
      </c>
      <c r="E3629" t="s">
        <v>26</v>
      </c>
      <c r="F3629" t="s">
        <v>17</v>
      </c>
      <c r="G3629" t="str">
        <f>"10"</f>
        <v>10</v>
      </c>
      <c r="H3629" t="str">
        <f>"3  "</f>
        <v xml:space="preserve">3  </v>
      </c>
      <c r="I3629" t="str">
        <f>"2020/02/28"</f>
        <v>2020/02/28</v>
      </c>
      <c r="J3629" t="str">
        <f>"110"</f>
        <v>110</v>
      </c>
      <c r="K3629" t="str">
        <f>"20240311"</f>
        <v>20240311</v>
      </c>
      <c r="L3629" t="s">
        <v>18</v>
      </c>
      <c r="M3629" t="str">
        <f>"20190827"</f>
        <v>20190827</v>
      </c>
    </row>
    <row r="3630" spans="1:13" x14ac:dyDescent="0.25">
      <c r="A3630" t="str">
        <f>"00347466"</f>
        <v>00347466</v>
      </c>
      <c r="B3630" t="s">
        <v>2533</v>
      </c>
      <c r="C3630" t="s">
        <v>647</v>
      </c>
      <c r="D3630" t="s">
        <v>97</v>
      </c>
      <c r="E3630" t="s">
        <v>26</v>
      </c>
      <c r="F3630" t="s">
        <v>17</v>
      </c>
      <c r="G3630" t="str">
        <f>"10"</f>
        <v>10</v>
      </c>
      <c r="H3630" t="str">
        <f>"3  "</f>
        <v xml:space="preserve">3  </v>
      </c>
      <c r="I3630" t="str">
        <f>"2019/09/18"</f>
        <v>2019/09/18</v>
      </c>
      <c r="J3630" t="str">
        <f>"110"</f>
        <v>110</v>
      </c>
      <c r="K3630" t="str">
        <f>"20221130"</f>
        <v>20221130</v>
      </c>
      <c r="L3630" t="s">
        <v>18</v>
      </c>
      <c r="M3630" t="str">
        <f>"20180705"</f>
        <v>20180705</v>
      </c>
    </row>
    <row r="3631" spans="1:13" x14ac:dyDescent="0.25">
      <c r="A3631" t="str">
        <f>"00244089"</f>
        <v>00244089</v>
      </c>
      <c r="B3631" t="s">
        <v>2537</v>
      </c>
      <c r="C3631" t="s">
        <v>2538</v>
      </c>
      <c r="D3631" t="s">
        <v>21</v>
      </c>
      <c r="E3631" t="s">
        <v>26</v>
      </c>
      <c r="F3631" t="s">
        <v>17</v>
      </c>
      <c r="G3631" t="str">
        <f>"10"</f>
        <v>10</v>
      </c>
      <c r="H3631" t="str">
        <f>"0  "</f>
        <v xml:space="preserve">0  </v>
      </c>
      <c r="I3631" t="str">
        <f>"2019/07/29"</f>
        <v>2019/07/29</v>
      </c>
      <c r="J3631" t="str">
        <f>"420"</f>
        <v>420</v>
      </c>
      <c r="K3631" t="s">
        <v>18</v>
      </c>
      <c r="L3631" t="s">
        <v>18</v>
      </c>
      <c r="M3631" t="s">
        <v>18</v>
      </c>
    </row>
    <row r="3632" spans="1:13" x14ac:dyDescent="0.25">
      <c r="A3632" t="str">
        <f>"00732817"</f>
        <v>00732817</v>
      </c>
      <c r="B3632" t="s">
        <v>2539</v>
      </c>
      <c r="C3632" t="s">
        <v>1208</v>
      </c>
      <c r="D3632" t="s">
        <v>25</v>
      </c>
      <c r="E3632" t="s">
        <v>16</v>
      </c>
      <c r="F3632" t="s">
        <v>17</v>
      </c>
      <c r="G3632" t="str">
        <f>"10"</f>
        <v>10</v>
      </c>
      <c r="H3632" t="str">
        <f>"3  "</f>
        <v xml:space="preserve">3  </v>
      </c>
      <c r="I3632" t="str">
        <f>"2020/01/17"</f>
        <v>2020/01/17</v>
      </c>
      <c r="J3632" t="str">
        <f>"502"</f>
        <v>502</v>
      </c>
      <c r="K3632" t="str">
        <f>"20260603"</f>
        <v>20260603</v>
      </c>
      <c r="L3632" t="s">
        <v>18</v>
      </c>
      <c r="M3632" t="str">
        <f>"20141022"</f>
        <v>20141022</v>
      </c>
    </row>
    <row r="3633" spans="1:13" x14ac:dyDescent="0.25">
      <c r="A3633" t="str">
        <f>"00669236"</f>
        <v>00669236</v>
      </c>
      <c r="B3633" t="s">
        <v>2548</v>
      </c>
      <c r="C3633" t="s">
        <v>74</v>
      </c>
      <c r="D3633" t="s">
        <v>15</v>
      </c>
      <c r="E3633" t="s">
        <v>16</v>
      </c>
      <c r="F3633" t="s">
        <v>17</v>
      </c>
      <c r="G3633" t="str">
        <f>"10"</f>
        <v>10</v>
      </c>
      <c r="H3633" t="str">
        <f>"0  "</f>
        <v xml:space="preserve">0  </v>
      </c>
      <c r="I3633" t="str">
        <f>"2020/06/30"</f>
        <v>2020/06/30</v>
      </c>
      <c r="J3633" t="str">
        <f>"420"</f>
        <v>420</v>
      </c>
      <c r="K3633" t="s">
        <v>18</v>
      </c>
      <c r="L3633" t="s">
        <v>18</v>
      </c>
      <c r="M3633" t="s">
        <v>18</v>
      </c>
    </row>
    <row r="3634" spans="1:13" x14ac:dyDescent="0.25">
      <c r="A3634" t="str">
        <f>"00394144"</f>
        <v>00394144</v>
      </c>
      <c r="B3634" t="s">
        <v>2549</v>
      </c>
      <c r="C3634" t="s">
        <v>2550</v>
      </c>
      <c r="D3634" t="s">
        <v>80</v>
      </c>
      <c r="E3634" t="s">
        <v>26</v>
      </c>
      <c r="F3634" t="s">
        <v>17</v>
      </c>
      <c r="G3634" t="str">
        <f>"10"</f>
        <v>10</v>
      </c>
      <c r="H3634" t="str">
        <f>"0  "</f>
        <v xml:space="preserve">0  </v>
      </c>
      <c r="I3634" t="str">
        <f>"2019/12/16"</f>
        <v>2019/12/16</v>
      </c>
      <c r="J3634" t="str">
        <f>"420"</f>
        <v>420</v>
      </c>
      <c r="K3634" t="s">
        <v>18</v>
      </c>
      <c r="L3634" t="s">
        <v>18</v>
      </c>
      <c r="M3634" t="s">
        <v>18</v>
      </c>
    </row>
    <row r="3635" spans="1:13" x14ac:dyDescent="0.25">
      <c r="A3635" t="str">
        <f>"00688968"</f>
        <v>00688968</v>
      </c>
      <c r="B3635" t="s">
        <v>2551</v>
      </c>
      <c r="C3635" t="s">
        <v>124</v>
      </c>
      <c r="D3635" t="s">
        <v>51</v>
      </c>
      <c r="E3635" t="s">
        <v>16</v>
      </c>
      <c r="F3635" t="s">
        <v>17</v>
      </c>
      <c r="G3635" t="str">
        <f>"10"</f>
        <v>10</v>
      </c>
      <c r="H3635" t="str">
        <f>"3  "</f>
        <v xml:space="preserve">3  </v>
      </c>
      <c r="I3635" t="str">
        <f>"2019/08/20"</f>
        <v>2019/08/20</v>
      </c>
      <c r="J3635" t="str">
        <f>"120"</f>
        <v>120</v>
      </c>
      <c r="K3635" t="str">
        <f>"20210723"</f>
        <v>20210723</v>
      </c>
      <c r="L3635" t="s">
        <v>18</v>
      </c>
      <c r="M3635" t="str">
        <f>"20190608"</f>
        <v>20190608</v>
      </c>
    </row>
    <row r="3636" spans="1:13" x14ac:dyDescent="0.25">
      <c r="A3636" t="str">
        <f>"00561801"</f>
        <v>00561801</v>
      </c>
      <c r="B3636" t="s">
        <v>2555</v>
      </c>
      <c r="C3636" t="s">
        <v>2556</v>
      </c>
      <c r="D3636" t="s">
        <v>15</v>
      </c>
      <c r="E3636" t="s">
        <v>26</v>
      </c>
      <c r="F3636" t="s">
        <v>17</v>
      </c>
      <c r="G3636" t="str">
        <f>"10"</f>
        <v>10</v>
      </c>
      <c r="H3636" t="str">
        <f>"3  "</f>
        <v xml:space="preserve">3  </v>
      </c>
      <c r="I3636" t="str">
        <f>"2017/01/20"</f>
        <v>2017/01/20</v>
      </c>
      <c r="J3636" t="str">
        <f>"110"</f>
        <v>110</v>
      </c>
      <c r="K3636" t="str">
        <f>"20220512"</f>
        <v>20220512</v>
      </c>
      <c r="L3636" t="s">
        <v>18</v>
      </c>
      <c r="M3636" t="str">
        <f>"20160504"</f>
        <v>20160504</v>
      </c>
    </row>
    <row r="3637" spans="1:13" x14ac:dyDescent="0.25">
      <c r="A3637" t="str">
        <f>"00574465"</f>
        <v>00574465</v>
      </c>
      <c r="B3637" t="s">
        <v>2561</v>
      </c>
      <c r="C3637" t="s">
        <v>755</v>
      </c>
      <c r="D3637" t="s">
        <v>61</v>
      </c>
      <c r="E3637" t="s">
        <v>16</v>
      </c>
      <c r="F3637" t="s">
        <v>17</v>
      </c>
      <c r="G3637" t="str">
        <f>"10"</f>
        <v>10</v>
      </c>
      <c r="H3637" t="str">
        <f>"0  "</f>
        <v xml:space="preserve">0  </v>
      </c>
      <c r="I3637" t="str">
        <f>"2020/09/11"</f>
        <v>2020/09/11</v>
      </c>
      <c r="J3637" t="str">
        <f>"420"</f>
        <v>420</v>
      </c>
      <c r="K3637" t="s">
        <v>18</v>
      </c>
      <c r="L3637" t="s">
        <v>18</v>
      </c>
      <c r="M3637" t="s">
        <v>18</v>
      </c>
    </row>
    <row r="3638" spans="1:13" x14ac:dyDescent="0.25">
      <c r="A3638" t="str">
        <f>"00500127"</f>
        <v>00500127</v>
      </c>
      <c r="B3638" t="s">
        <v>2562</v>
      </c>
      <c r="C3638" t="s">
        <v>325</v>
      </c>
      <c r="D3638" t="s">
        <v>40</v>
      </c>
      <c r="E3638" t="s">
        <v>16</v>
      </c>
      <c r="F3638" t="s">
        <v>17</v>
      </c>
      <c r="G3638" t="str">
        <f>"10"</f>
        <v>10</v>
      </c>
      <c r="H3638" t="str">
        <f>"3  "</f>
        <v xml:space="preserve">3  </v>
      </c>
      <c r="I3638" t="str">
        <f>"2015/10/21"</f>
        <v>2015/10/21</v>
      </c>
      <c r="J3638" t="str">
        <f>"110"</f>
        <v>110</v>
      </c>
      <c r="K3638" t="str">
        <f>"20210307"</f>
        <v>20210307</v>
      </c>
      <c r="L3638" t="s">
        <v>18</v>
      </c>
      <c r="M3638" t="str">
        <f>"20141009"</f>
        <v>20141009</v>
      </c>
    </row>
    <row r="3639" spans="1:13" x14ac:dyDescent="0.25">
      <c r="A3639" t="str">
        <f>"00292998"</f>
        <v>00292998</v>
      </c>
      <c r="B3639" t="s">
        <v>2567</v>
      </c>
      <c r="C3639" t="s">
        <v>136</v>
      </c>
      <c r="D3639" t="s">
        <v>16</v>
      </c>
      <c r="E3639" t="s">
        <v>16</v>
      </c>
      <c r="F3639" t="s">
        <v>17</v>
      </c>
      <c r="G3639" t="str">
        <f>"10"</f>
        <v>10</v>
      </c>
      <c r="H3639" t="str">
        <f>"0  "</f>
        <v xml:space="preserve">0  </v>
      </c>
      <c r="I3639" t="str">
        <f>"2020/05/03"</f>
        <v>2020/05/03</v>
      </c>
      <c r="J3639" t="str">
        <f>"420"</f>
        <v>420</v>
      </c>
      <c r="K3639" t="s">
        <v>18</v>
      </c>
      <c r="L3639" t="s">
        <v>18</v>
      </c>
      <c r="M3639" t="s">
        <v>18</v>
      </c>
    </row>
    <row r="3640" spans="1:13" x14ac:dyDescent="0.25">
      <c r="A3640" t="str">
        <f>"00658327"</f>
        <v>00658327</v>
      </c>
      <c r="B3640" t="s">
        <v>2571</v>
      </c>
      <c r="C3640" t="s">
        <v>2572</v>
      </c>
      <c r="D3640" t="s">
        <v>80</v>
      </c>
      <c r="E3640" t="s">
        <v>26</v>
      </c>
      <c r="F3640" t="s">
        <v>17</v>
      </c>
      <c r="G3640" t="str">
        <f>"10"</f>
        <v>10</v>
      </c>
      <c r="H3640" t="str">
        <f>"3  "</f>
        <v xml:space="preserve">3  </v>
      </c>
      <c r="I3640" t="str">
        <f>"2019/05/28"</f>
        <v>2019/05/28</v>
      </c>
      <c r="J3640" t="str">
        <f>"110"</f>
        <v>110</v>
      </c>
      <c r="K3640" t="str">
        <f>"20230526"</f>
        <v>20230526</v>
      </c>
      <c r="L3640" t="s">
        <v>18</v>
      </c>
      <c r="M3640" t="str">
        <f>"20190109"</f>
        <v>20190109</v>
      </c>
    </row>
    <row r="3641" spans="1:13" x14ac:dyDescent="0.25">
      <c r="A3641" t="str">
        <f>"00209900"</f>
        <v>00209900</v>
      </c>
      <c r="B3641" t="s">
        <v>2571</v>
      </c>
      <c r="C3641" t="s">
        <v>2573</v>
      </c>
      <c r="D3641" t="s">
        <v>21</v>
      </c>
      <c r="E3641" t="s">
        <v>26</v>
      </c>
      <c r="F3641" t="s">
        <v>17</v>
      </c>
      <c r="G3641" t="str">
        <f>"10"</f>
        <v>10</v>
      </c>
      <c r="H3641" t="str">
        <f>"0  "</f>
        <v xml:space="preserve">0  </v>
      </c>
      <c r="I3641" t="str">
        <f>"2020/09/14"</f>
        <v>2020/09/14</v>
      </c>
      <c r="J3641" t="str">
        <f>"420"</f>
        <v>420</v>
      </c>
      <c r="K3641" t="s">
        <v>18</v>
      </c>
      <c r="L3641" t="s">
        <v>18</v>
      </c>
      <c r="M3641" t="s">
        <v>18</v>
      </c>
    </row>
    <row r="3642" spans="1:13" x14ac:dyDescent="0.25">
      <c r="A3642" t="str">
        <f>"00614682"</f>
        <v>00614682</v>
      </c>
      <c r="B3642" t="s">
        <v>2571</v>
      </c>
      <c r="C3642" t="s">
        <v>398</v>
      </c>
      <c r="D3642" t="s">
        <v>21</v>
      </c>
      <c r="E3642" t="s">
        <v>26</v>
      </c>
      <c r="F3642" t="s">
        <v>17</v>
      </c>
      <c r="G3642" t="str">
        <f>"10"</f>
        <v>10</v>
      </c>
      <c r="H3642" t="str">
        <f>"0  "</f>
        <v xml:space="preserve">0  </v>
      </c>
      <c r="I3642" t="str">
        <f>"2020/05/19"</f>
        <v>2020/05/19</v>
      </c>
      <c r="J3642" t="str">
        <f>"420"</f>
        <v>420</v>
      </c>
      <c r="K3642" t="s">
        <v>18</v>
      </c>
      <c r="L3642" t="s">
        <v>18</v>
      </c>
      <c r="M3642" t="s">
        <v>18</v>
      </c>
    </row>
    <row r="3643" spans="1:13" x14ac:dyDescent="0.25">
      <c r="A3643" t="str">
        <f>"00821499"</f>
        <v>00821499</v>
      </c>
      <c r="B3643" t="s">
        <v>2587</v>
      </c>
      <c r="C3643" t="s">
        <v>2588</v>
      </c>
      <c r="D3643" t="s">
        <v>25</v>
      </c>
      <c r="E3643" t="s">
        <v>26</v>
      </c>
      <c r="F3643" t="s">
        <v>17</v>
      </c>
      <c r="G3643" t="str">
        <f>"10"</f>
        <v>10</v>
      </c>
      <c r="H3643" t="str">
        <f>"0  "</f>
        <v xml:space="preserve">0  </v>
      </c>
      <c r="I3643" t="str">
        <f>"2020/09/18"</f>
        <v>2020/09/18</v>
      </c>
      <c r="J3643" t="str">
        <f>"420"</f>
        <v>420</v>
      </c>
      <c r="K3643" t="s">
        <v>18</v>
      </c>
      <c r="L3643" t="s">
        <v>18</v>
      </c>
      <c r="M3643" t="s">
        <v>18</v>
      </c>
    </row>
    <row r="3644" spans="1:13" x14ac:dyDescent="0.25">
      <c r="A3644" t="str">
        <f>"00452176"</f>
        <v>00452176</v>
      </c>
      <c r="B3644" t="s">
        <v>2592</v>
      </c>
      <c r="C3644" t="s">
        <v>281</v>
      </c>
      <c r="D3644" t="s">
        <v>51</v>
      </c>
      <c r="E3644" t="s">
        <v>26</v>
      </c>
      <c r="F3644" t="s">
        <v>17</v>
      </c>
      <c r="G3644" t="str">
        <f>"10"</f>
        <v>10</v>
      </c>
      <c r="H3644" t="str">
        <f>"3  "</f>
        <v xml:space="preserve">3  </v>
      </c>
      <c r="I3644" t="str">
        <f>"2018/02/12"</f>
        <v>2018/02/12</v>
      </c>
      <c r="J3644" t="str">
        <f>"110"</f>
        <v>110</v>
      </c>
      <c r="K3644" t="str">
        <f>"20240529"</f>
        <v>20240529</v>
      </c>
      <c r="L3644" t="s">
        <v>18</v>
      </c>
      <c r="M3644" t="str">
        <f>"20170429"</f>
        <v>20170429</v>
      </c>
    </row>
    <row r="3645" spans="1:13" x14ac:dyDescent="0.25">
      <c r="A3645" t="str">
        <f>"00260883"</f>
        <v>00260883</v>
      </c>
      <c r="B3645" t="s">
        <v>2604</v>
      </c>
      <c r="C3645" t="s">
        <v>2125</v>
      </c>
      <c r="D3645" t="s">
        <v>25</v>
      </c>
      <c r="E3645" t="s">
        <v>26</v>
      </c>
      <c r="F3645" t="s">
        <v>17</v>
      </c>
      <c r="G3645" t="str">
        <f>"10"</f>
        <v>10</v>
      </c>
      <c r="H3645" t="str">
        <f>"0  "</f>
        <v xml:space="preserve">0  </v>
      </c>
      <c r="I3645" t="str">
        <f>"2020/08/10"</f>
        <v>2020/08/10</v>
      </c>
      <c r="J3645" t="str">
        <f>"420"</f>
        <v>420</v>
      </c>
      <c r="K3645" t="s">
        <v>18</v>
      </c>
      <c r="L3645" t="s">
        <v>18</v>
      </c>
      <c r="M3645" t="s">
        <v>18</v>
      </c>
    </row>
    <row r="3646" spans="1:13" x14ac:dyDescent="0.25">
      <c r="A3646" t="str">
        <f>"00298905"</f>
        <v>00298905</v>
      </c>
      <c r="B3646" t="s">
        <v>2604</v>
      </c>
      <c r="C3646" t="s">
        <v>1743</v>
      </c>
      <c r="D3646" t="s">
        <v>25</v>
      </c>
      <c r="E3646" t="s">
        <v>26</v>
      </c>
      <c r="F3646" t="s">
        <v>17</v>
      </c>
      <c r="G3646" t="str">
        <f>"10"</f>
        <v>10</v>
      </c>
      <c r="H3646" t="str">
        <f>"3  "</f>
        <v xml:space="preserve">3  </v>
      </c>
      <c r="I3646" t="str">
        <f>"2016/02/17"</f>
        <v>2016/02/17</v>
      </c>
      <c r="J3646" t="str">
        <f>"110"</f>
        <v>110</v>
      </c>
      <c r="K3646" t="str">
        <f>"20201013"</f>
        <v>20201013</v>
      </c>
      <c r="L3646" t="s">
        <v>18</v>
      </c>
      <c r="M3646" t="str">
        <f>"20140909"</f>
        <v>20140909</v>
      </c>
    </row>
    <row r="3647" spans="1:13" x14ac:dyDescent="0.25">
      <c r="A3647" t="str">
        <f>"00397689"</f>
        <v>00397689</v>
      </c>
      <c r="B3647" t="s">
        <v>2610</v>
      </c>
      <c r="C3647" t="s">
        <v>767</v>
      </c>
      <c r="D3647" t="s">
        <v>53</v>
      </c>
      <c r="E3647" t="s">
        <v>16</v>
      </c>
      <c r="F3647" t="s">
        <v>17</v>
      </c>
      <c r="G3647" t="str">
        <f>"10"</f>
        <v>10</v>
      </c>
      <c r="H3647" t="str">
        <f>"3  "</f>
        <v xml:space="preserve">3  </v>
      </c>
      <c r="I3647" t="str">
        <f>"2018/10/06"</f>
        <v>2018/10/06</v>
      </c>
      <c r="J3647" t="str">
        <f>"110"</f>
        <v>110</v>
      </c>
      <c r="K3647" t="str">
        <f>"20201203"</f>
        <v>20201203</v>
      </c>
      <c r="L3647" t="s">
        <v>18</v>
      </c>
      <c r="M3647" t="str">
        <f>"20170727"</f>
        <v>20170727</v>
      </c>
    </row>
    <row r="3648" spans="1:13" x14ac:dyDescent="0.25">
      <c r="A3648" t="str">
        <f>"00426578"</f>
        <v>00426578</v>
      </c>
      <c r="B3648" t="s">
        <v>2614</v>
      </c>
      <c r="C3648" t="s">
        <v>687</v>
      </c>
      <c r="D3648" t="s">
        <v>40</v>
      </c>
      <c r="E3648" t="s">
        <v>16</v>
      </c>
      <c r="F3648" t="s">
        <v>17</v>
      </c>
      <c r="G3648" t="str">
        <f>"10"</f>
        <v>10</v>
      </c>
      <c r="H3648" t="str">
        <f>"3  "</f>
        <v xml:space="preserve">3  </v>
      </c>
      <c r="I3648" t="str">
        <f>"2019/08/26"</f>
        <v>2019/08/26</v>
      </c>
      <c r="J3648" t="str">
        <f>"503"</f>
        <v>503</v>
      </c>
      <c r="K3648" t="str">
        <f>"20221021"</f>
        <v>20221021</v>
      </c>
      <c r="L3648" t="s">
        <v>18</v>
      </c>
      <c r="M3648" t="str">
        <f>"20180704"</f>
        <v>20180704</v>
      </c>
    </row>
    <row r="3649" spans="1:13" x14ac:dyDescent="0.25">
      <c r="A3649" t="str">
        <f>"00649494"</f>
        <v>00649494</v>
      </c>
      <c r="B3649" t="s">
        <v>2615</v>
      </c>
      <c r="C3649" t="s">
        <v>2616</v>
      </c>
      <c r="D3649" t="s">
        <v>45</v>
      </c>
      <c r="E3649" t="s">
        <v>26</v>
      </c>
      <c r="F3649" t="s">
        <v>17</v>
      </c>
      <c r="G3649" t="str">
        <f>"10"</f>
        <v>10</v>
      </c>
      <c r="H3649" t="str">
        <f>"1  "</f>
        <v xml:space="preserve">1  </v>
      </c>
      <c r="I3649" t="str">
        <f>"2020/09/01"</f>
        <v>2020/09/01</v>
      </c>
      <c r="J3649" t="str">
        <f>"120"</f>
        <v>120</v>
      </c>
      <c r="K3649" t="str">
        <f>"20201011"</f>
        <v>20201011</v>
      </c>
      <c r="L3649" t="s">
        <v>18</v>
      </c>
      <c r="M3649" t="str">
        <f>"20200817"</f>
        <v>20200817</v>
      </c>
    </row>
    <row r="3650" spans="1:13" x14ac:dyDescent="0.25">
      <c r="A3650" t="str">
        <f>"00324345"</f>
        <v>00324345</v>
      </c>
      <c r="B3650" t="s">
        <v>2615</v>
      </c>
      <c r="C3650" t="s">
        <v>2618</v>
      </c>
      <c r="D3650" t="s">
        <v>51</v>
      </c>
      <c r="E3650" t="s">
        <v>16</v>
      </c>
      <c r="F3650" t="s">
        <v>17</v>
      </c>
      <c r="G3650" t="str">
        <f>"10"</f>
        <v>10</v>
      </c>
      <c r="H3650" t="str">
        <f>"0  "</f>
        <v xml:space="preserve">0  </v>
      </c>
      <c r="I3650" t="str">
        <f>"2019/06/09"</f>
        <v>2019/06/09</v>
      </c>
      <c r="J3650" t="str">
        <f>"420"</f>
        <v>420</v>
      </c>
      <c r="K3650" t="s">
        <v>18</v>
      </c>
      <c r="L3650" t="s">
        <v>18</v>
      </c>
      <c r="M3650" t="s">
        <v>18</v>
      </c>
    </row>
    <row r="3651" spans="1:13" x14ac:dyDescent="0.25">
      <c r="A3651" t="str">
        <f>"00921550"</f>
        <v>00921550</v>
      </c>
      <c r="B3651" t="s">
        <v>2620</v>
      </c>
      <c r="C3651" t="s">
        <v>2622</v>
      </c>
      <c r="D3651" t="s">
        <v>182</v>
      </c>
      <c r="E3651" t="s">
        <v>16</v>
      </c>
      <c r="F3651" t="s">
        <v>17</v>
      </c>
      <c r="G3651" t="str">
        <f>"10"</f>
        <v>10</v>
      </c>
      <c r="H3651" t="str">
        <f>"0  "</f>
        <v xml:space="preserve">0  </v>
      </c>
      <c r="I3651" t="str">
        <f>"2020/07/24"</f>
        <v>2020/07/24</v>
      </c>
      <c r="J3651" t="str">
        <f>"420"</f>
        <v>420</v>
      </c>
      <c r="K3651" t="s">
        <v>18</v>
      </c>
      <c r="L3651" t="s">
        <v>18</v>
      </c>
      <c r="M3651" t="s">
        <v>18</v>
      </c>
    </row>
    <row r="3652" spans="1:13" x14ac:dyDescent="0.25">
      <c r="A3652" t="str">
        <f>"00908472"</f>
        <v>00908472</v>
      </c>
      <c r="B3652" t="s">
        <v>2623</v>
      </c>
      <c r="C3652" t="s">
        <v>186</v>
      </c>
      <c r="D3652" t="s">
        <v>15</v>
      </c>
      <c r="E3652" t="s">
        <v>16</v>
      </c>
      <c r="F3652" t="s">
        <v>17</v>
      </c>
      <c r="G3652" t="str">
        <f>"10"</f>
        <v>10</v>
      </c>
      <c r="H3652" t="str">
        <f>"3  "</f>
        <v xml:space="preserve">3  </v>
      </c>
      <c r="I3652" t="str">
        <f>"2020/07/31"</f>
        <v>2020/07/31</v>
      </c>
      <c r="J3652" t="str">
        <f>"110"</f>
        <v>110</v>
      </c>
      <c r="K3652" t="str">
        <f>"20210730"</f>
        <v>20210730</v>
      </c>
      <c r="L3652" t="s">
        <v>18</v>
      </c>
      <c r="M3652" t="str">
        <f>"20200731"</f>
        <v>20200731</v>
      </c>
    </row>
    <row r="3653" spans="1:13" x14ac:dyDescent="0.25">
      <c r="A3653" t="str">
        <f>"00771608"</f>
        <v>00771608</v>
      </c>
      <c r="B3653" t="s">
        <v>2624</v>
      </c>
      <c r="C3653" t="s">
        <v>232</v>
      </c>
      <c r="D3653" t="s">
        <v>25</v>
      </c>
      <c r="E3653" t="s">
        <v>16</v>
      </c>
      <c r="F3653" t="s">
        <v>17</v>
      </c>
      <c r="G3653" t="str">
        <f>"10"</f>
        <v>10</v>
      </c>
      <c r="H3653" t="str">
        <f>"1  "</f>
        <v xml:space="preserve">1  </v>
      </c>
      <c r="I3653" t="str">
        <f>"2020/07/22"</f>
        <v>2020/07/22</v>
      </c>
      <c r="J3653" t="str">
        <f>"120"</f>
        <v>120</v>
      </c>
      <c r="K3653" t="str">
        <f>"20201009"</f>
        <v>20201009</v>
      </c>
      <c r="L3653" t="s">
        <v>18</v>
      </c>
      <c r="M3653" t="str">
        <f>"20200718"</f>
        <v>20200718</v>
      </c>
    </row>
    <row r="3654" spans="1:13" x14ac:dyDescent="0.25">
      <c r="A3654" t="str">
        <f>"00498636"</f>
        <v>00498636</v>
      </c>
      <c r="B3654" t="s">
        <v>2631</v>
      </c>
      <c r="C3654" t="s">
        <v>188</v>
      </c>
      <c r="D3654" t="s">
        <v>51</v>
      </c>
      <c r="E3654" t="s">
        <v>26</v>
      </c>
      <c r="F3654" t="s">
        <v>17</v>
      </c>
      <c r="G3654" t="str">
        <f>"10"</f>
        <v>10</v>
      </c>
      <c r="H3654" t="str">
        <f>"0  "</f>
        <v xml:space="preserve">0  </v>
      </c>
      <c r="I3654" t="str">
        <f>"2020/04/01"</f>
        <v>2020/04/01</v>
      </c>
      <c r="J3654" t="str">
        <f>"420"</f>
        <v>420</v>
      </c>
      <c r="K3654" t="s">
        <v>18</v>
      </c>
      <c r="L3654" t="s">
        <v>18</v>
      </c>
      <c r="M3654" t="s">
        <v>18</v>
      </c>
    </row>
    <row r="3655" spans="1:13" x14ac:dyDescent="0.25">
      <c r="A3655" t="str">
        <f>"00456741"</f>
        <v>00456741</v>
      </c>
      <c r="B3655" t="s">
        <v>2648</v>
      </c>
      <c r="C3655" t="s">
        <v>526</v>
      </c>
      <c r="D3655" t="s">
        <v>97</v>
      </c>
      <c r="E3655" t="s">
        <v>16</v>
      </c>
      <c r="F3655" t="s">
        <v>17</v>
      </c>
      <c r="G3655" t="str">
        <f>"10"</f>
        <v>10</v>
      </c>
      <c r="H3655" t="str">
        <f>"3  "</f>
        <v xml:space="preserve">3  </v>
      </c>
      <c r="I3655" t="str">
        <f>"2017/11/07"</f>
        <v>2017/11/07</v>
      </c>
      <c r="J3655" t="str">
        <f>"110"</f>
        <v>110</v>
      </c>
      <c r="K3655" t="str">
        <f>"20211214"</f>
        <v>20211214</v>
      </c>
      <c r="L3655" t="s">
        <v>18</v>
      </c>
      <c r="M3655" t="str">
        <f>"20171105"</f>
        <v>20171105</v>
      </c>
    </row>
    <row r="3656" spans="1:13" x14ac:dyDescent="0.25">
      <c r="A3656" t="str">
        <f>"00613892"</f>
        <v>00613892</v>
      </c>
      <c r="B3656" t="s">
        <v>2650</v>
      </c>
      <c r="C3656" t="s">
        <v>14</v>
      </c>
      <c r="D3656" t="s">
        <v>25</v>
      </c>
      <c r="E3656" t="s">
        <v>26</v>
      </c>
      <c r="F3656" t="s">
        <v>17</v>
      </c>
      <c r="G3656" t="str">
        <f>"10"</f>
        <v>10</v>
      </c>
      <c r="H3656" t="str">
        <f>"3  "</f>
        <v xml:space="preserve">3  </v>
      </c>
      <c r="I3656" t="str">
        <f>"2020/08/13"</f>
        <v>2020/08/13</v>
      </c>
      <c r="J3656" t="str">
        <f>"110"</f>
        <v>110</v>
      </c>
      <c r="K3656" t="str">
        <f>"20210616"</f>
        <v>20210616</v>
      </c>
      <c r="L3656" t="s">
        <v>18</v>
      </c>
      <c r="M3656" t="str">
        <f>"20190816"</f>
        <v>20190816</v>
      </c>
    </row>
    <row r="3657" spans="1:13" x14ac:dyDescent="0.25">
      <c r="A3657" t="str">
        <f>"00344495"</f>
        <v>00344495</v>
      </c>
      <c r="B3657" t="s">
        <v>2651</v>
      </c>
      <c r="C3657" t="s">
        <v>595</v>
      </c>
      <c r="D3657" t="s">
        <v>61</v>
      </c>
      <c r="E3657" t="s">
        <v>26</v>
      </c>
      <c r="F3657" t="s">
        <v>17</v>
      </c>
      <c r="G3657" t="str">
        <f>"10"</f>
        <v>10</v>
      </c>
      <c r="H3657" t="str">
        <f>"3  "</f>
        <v xml:space="preserve">3  </v>
      </c>
      <c r="I3657" t="str">
        <f>"2019/02/11"</f>
        <v>2019/02/11</v>
      </c>
      <c r="J3657" t="str">
        <f>"110"</f>
        <v>110</v>
      </c>
      <c r="K3657" t="str">
        <f>"20251012"</f>
        <v>20251012</v>
      </c>
      <c r="L3657" t="s">
        <v>18</v>
      </c>
      <c r="M3657" t="str">
        <f>"20180930"</f>
        <v>20180930</v>
      </c>
    </row>
    <row r="3658" spans="1:13" x14ac:dyDescent="0.25">
      <c r="A3658" t="str">
        <f>"00263663"</f>
        <v>00263663</v>
      </c>
      <c r="B3658" t="s">
        <v>2651</v>
      </c>
      <c r="C3658" t="s">
        <v>71</v>
      </c>
      <c r="D3658" t="s">
        <v>21</v>
      </c>
      <c r="E3658" t="s">
        <v>26</v>
      </c>
      <c r="F3658" t="s">
        <v>17</v>
      </c>
      <c r="G3658" t="str">
        <f>"10"</f>
        <v>10</v>
      </c>
      <c r="H3658" t="str">
        <f>"3  "</f>
        <v xml:space="preserve">3  </v>
      </c>
      <c r="I3658" t="str">
        <f>"2020/02/05"</f>
        <v>2020/02/05</v>
      </c>
      <c r="J3658" t="str">
        <f>"503"</f>
        <v>503</v>
      </c>
      <c r="K3658" t="str">
        <f>"20201026"</f>
        <v>20201026</v>
      </c>
      <c r="L3658" t="s">
        <v>18</v>
      </c>
      <c r="M3658" t="str">
        <f>"20170612"</f>
        <v>20170612</v>
      </c>
    </row>
    <row r="3659" spans="1:13" x14ac:dyDescent="0.25">
      <c r="A3659" t="str">
        <f>"00514206"</f>
        <v>00514206</v>
      </c>
      <c r="B3659" t="s">
        <v>2651</v>
      </c>
      <c r="C3659" t="s">
        <v>96</v>
      </c>
      <c r="D3659" t="s">
        <v>25</v>
      </c>
      <c r="E3659" t="s">
        <v>26</v>
      </c>
      <c r="F3659" t="s">
        <v>17</v>
      </c>
      <c r="G3659" t="str">
        <f>"10"</f>
        <v>10</v>
      </c>
      <c r="H3659" t="str">
        <f>"3  "</f>
        <v xml:space="preserve">3  </v>
      </c>
      <c r="I3659" t="str">
        <f>"2020/01/29"</f>
        <v>2020/01/29</v>
      </c>
      <c r="J3659" t="str">
        <f>"110"</f>
        <v>110</v>
      </c>
      <c r="K3659" t="str">
        <f>"20250219"</f>
        <v>20250219</v>
      </c>
      <c r="L3659" t="s">
        <v>18</v>
      </c>
      <c r="M3659" t="str">
        <f>"20190913"</f>
        <v>20190913</v>
      </c>
    </row>
    <row r="3660" spans="1:13" x14ac:dyDescent="0.25">
      <c r="A3660" t="str">
        <f>"00858183"</f>
        <v>00858183</v>
      </c>
      <c r="B3660" t="s">
        <v>2651</v>
      </c>
      <c r="C3660" t="s">
        <v>72</v>
      </c>
      <c r="D3660" t="s">
        <v>21</v>
      </c>
      <c r="E3660" t="s">
        <v>26</v>
      </c>
      <c r="F3660" t="s">
        <v>17</v>
      </c>
      <c r="G3660" t="str">
        <f>"10"</f>
        <v>10</v>
      </c>
      <c r="H3660" t="str">
        <f>"0  "</f>
        <v xml:space="preserve">0  </v>
      </c>
      <c r="I3660" t="str">
        <f>"2020/07/16"</f>
        <v>2020/07/16</v>
      </c>
      <c r="J3660" t="str">
        <f>"420"</f>
        <v>420</v>
      </c>
      <c r="K3660" t="s">
        <v>18</v>
      </c>
      <c r="L3660" t="s">
        <v>18</v>
      </c>
      <c r="M3660" t="s">
        <v>18</v>
      </c>
    </row>
    <row r="3661" spans="1:13" x14ac:dyDescent="0.25">
      <c r="A3661" t="str">
        <f>"00555903"</f>
        <v>00555903</v>
      </c>
      <c r="B3661" t="s">
        <v>2651</v>
      </c>
      <c r="C3661" t="s">
        <v>2654</v>
      </c>
      <c r="D3661" t="s">
        <v>80</v>
      </c>
      <c r="E3661" t="s">
        <v>26</v>
      </c>
      <c r="F3661" t="s">
        <v>17</v>
      </c>
      <c r="G3661" t="str">
        <f>"10"</f>
        <v>10</v>
      </c>
      <c r="H3661" t="str">
        <f>"3  "</f>
        <v xml:space="preserve">3  </v>
      </c>
      <c r="I3661" t="str">
        <f>"2018/05/30"</f>
        <v>2018/05/30</v>
      </c>
      <c r="J3661" t="str">
        <f>"110"</f>
        <v>110</v>
      </c>
      <c r="K3661" t="str">
        <f>"20210411"</f>
        <v>20210411</v>
      </c>
      <c r="L3661" t="s">
        <v>18</v>
      </c>
      <c r="M3661" t="str">
        <f>"20171110"</f>
        <v>20171110</v>
      </c>
    </row>
    <row r="3662" spans="1:13" x14ac:dyDescent="0.25">
      <c r="A3662" t="str">
        <f>"00605360"</f>
        <v>00605360</v>
      </c>
      <c r="B3662" t="s">
        <v>2651</v>
      </c>
      <c r="C3662" t="s">
        <v>2655</v>
      </c>
      <c r="D3662" t="s">
        <v>21</v>
      </c>
      <c r="E3662" t="s">
        <v>26</v>
      </c>
      <c r="F3662" t="s">
        <v>17</v>
      </c>
      <c r="G3662" t="str">
        <f>"10"</f>
        <v>10</v>
      </c>
      <c r="H3662" t="str">
        <f>"3  "</f>
        <v xml:space="preserve">3  </v>
      </c>
      <c r="I3662" t="str">
        <f>"2020/08/09"</f>
        <v>2020/08/09</v>
      </c>
      <c r="J3662" t="str">
        <f>"110"</f>
        <v>110</v>
      </c>
      <c r="K3662" t="str">
        <f>"20211006"</f>
        <v>20211006</v>
      </c>
      <c r="L3662" t="s">
        <v>18</v>
      </c>
      <c r="M3662" t="str">
        <f>"20200326"</f>
        <v>20200326</v>
      </c>
    </row>
    <row r="3663" spans="1:13" x14ac:dyDescent="0.25">
      <c r="A3663" t="str">
        <f>"00201116"</f>
        <v>00201116</v>
      </c>
      <c r="B3663" t="s">
        <v>2651</v>
      </c>
      <c r="C3663" t="s">
        <v>55</v>
      </c>
      <c r="D3663" t="s">
        <v>16</v>
      </c>
      <c r="E3663" t="s">
        <v>26</v>
      </c>
      <c r="F3663" t="s">
        <v>17</v>
      </c>
      <c r="G3663" t="str">
        <f>"10"</f>
        <v>10</v>
      </c>
      <c r="H3663" t="str">
        <f>"3  "</f>
        <v xml:space="preserve">3  </v>
      </c>
      <c r="I3663" t="str">
        <f>"2015/12/03"</f>
        <v>2015/12/03</v>
      </c>
      <c r="J3663" t="str">
        <f>"110"</f>
        <v>110</v>
      </c>
      <c r="K3663" t="str">
        <f>"20221204"</f>
        <v>20221204</v>
      </c>
      <c r="L3663" t="s">
        <v>18</v>
      </c>
      <c r="M3663" t="str">
        <f>"20141205"</f>
        <v>20141205</v>
      </c>
    </row>
    <row r="3664" spans="1:13" x14ac:dyDescent="0.25">
      <c r="A3664" t="str">
        <f>"00705461"</f>
        <v>00705461</v>
      </c>
      <c r="B3664" t="s">
        <v>2651</v>
      </c>
      <c r="C3664" t="s">
        <v>527</v>
      </c>
      <c r="D3664" t="s">
        <v>40</v>
      </c>
      <c r="E3664" t="s">
        <v>26</v>
      </c>
      <c r="F3664" t="s">
        <v>17</v>
      </c>
      <c r="G3664" t="str">
        <f>"10"</f>
        <v>10</v>
      </c>
      <c r="H3664" t="str">
        <f>"3  "</f>
        <v xml:space="preserve">3  </v>
      </c>
      <c r="I3664" t="str">
        <f>"2018/03/06"</f>
        <v>2018/03/06</v>
      </c>
      <c r="J3664" t="str">
        <f>"110"</f>
        <v>110</v>
      </c>
      <c r="K3664" t="str">
        <f>"20250422"</f>
        <v>20250422</v>
      </c>
      <c r="L3664" t="s">
        <v>18</v>
      </c>
      <c r="M3664" t="str">
        <f>"20180217"</f>
        <v>20180217</v>
      </c>
    </row>
    <row r="3665" spans="1:13" x14ac:dyDescent="0.25">
      <c r="A3665" t="str">
        <f>"00588465"</f>
        <v>00588465</v>
      </c>
      <c r="B3665" t="s">
        <v>2659</v>
      </c>
      <c r="C3665" t="s">
        <v>2134</v>
      </c>
      <c r="D3665" t="s">
        <v>51</v>
      </c>
      <c r="E3665" t="s">
        <v>26</v>
      </c>
      <c r="F3665" t="s">
        <v>17</v>
      </c>
      <c r="G3665" t="str">
        <f>"10"</f>
        <v>10</v>
      </c>
      <c r="H3665" t="str">
        <f>"3  "</f>
        <v xml:space="preserve">3  </v>
      </c>
      <c r="I3665" t="str">
        <f>"2019/11/22"</f>
        <v>2019/11/22</v>
      </c>
      <c r="J3665" t="str">
        <f>"110"</f>
        <v>110</v>
      </c>
      <c r="K3665" t="str">
        <f>"20210717"</f>
        <v>20210717</v>
      </c>
      <c r="L3665" t="s">
        <v>18</v>
      </c>
      <c r="M3665" t="str">
        <f>"20190919"</f>
        <v>20190919</v>
      </c>
    </row>
    <row r="3666" spans="1:13" x14ac:dyDescent="0.25">
      <c r="A3666" t="str">
        <f>"00580184"</f>
        <v>00580184</v>
      </c>
      <c r="B3666" t="s">
        <v>2670</v>
      </c>
      <c r="C3666" t="s">
        <v>639</v>
      </c>
      <c r="D3666" t="s">
        <v>51</v>
      </c>
      <c r="E3666" t="s">
        <v>26</v>
      </c>
      <c r="F3666" t="s">
        <v>17</v>
      </c>
      <c r="G3666" t="str">
        <f>"10"</f>
        <v>10</v>
      </c>
      <c r="H3666" t="str">
        <f>"0  "</f>
        <v xml:space="preserve">0  </v>
      </c>
      <c r="I3666" t="str">
        <f>"2020/07/15"</f>
        <v>2020/07/15</v>
      </c>
      <c r="J3666" t="str">
        <f>"420"</f>
        <v>420</v>
      </c>
      <c r="K3666" t="s">
        <v>18</v>
      </c>
      <c r="L3666" t="s">
        <v>18</v>
      </c>
      <c r="M3666" t="s">
        <v>18</v>
      </c>
    </row>
    <row r="3667" spans="1:13" x14ac:dyDescent="0.25">
      <c r="A3667" t="str">
        <f>"00687703"</f>
        <v>00687703</v>
      </c>
      <c r="B3667" t="s">
        <v>2674</v>
      </c>
      <c r="C3667" t="s">
        <v>44</v>
      </c>
      <c r="D3667" t="s">
        <v>53</v>
      </c>
      <c r="E3667" t="s">
        <v>16</v>
      </c>
      <c r="F3667" t="s">
        <v>17</v>
      </c>
      <c r="G3667" t="str">
        <f>"10"</f>
        <v>10</v>
      </c>
      <c r="H3667" t="str">
        <f>"3  "</f>
        <v xml:space="preserve">3  </v>
      </c>
      <c r="I3667" t="str">
        <f>"2018/02/02"</f>
        <v>2018/02/02</v>
      </c>
      <c r="J3667" t="str">
        <f>"110"</f>
        <v>110</v>
      </c>
      <c r="K3667" t="str">
        <f>"20210525"</f>
        <v>20210525</v>
      </c>
      <c r="L3667" t="s">
        <v>18</v>
      </c>
      <c r="M3667" t="str">
        <f>"20180202"</f>
        <v>20180202</v>
      </c>
    </row>
    <row r="3668" spans="1:13" x14ac:dyDescent="0.25">
      <c r="A3668" t="str">
        <f>"00605420"</f>
        <v>00605420</v>
      </c>
      <c r="B3668" t="s">
        <v>2674</v>
      </c>
      <c r="C3668" t="s">
        <v>161</v>
      </c>
      <c r="D3668" t="s">
        <v>25</v>
      </c>
      <c r="E3668" t="s">
        <v>26</v>
      </c>
      <c r="F3668" t="s">
        <v>17</v>
      </c>
      <c r="G3668" t="str">
        <f>"10"</f>
        <v>10</v>
      </c>
      <c r="H3668" t="str">
        <f>"3  "</f>
        <v xml:space="preserve">3  </v>
      </c>
      <c r="I3668" t="str">
        <f>"2017/05/01"</f>
        <v>2017/05/01</v>
      </c>
      <c r="J3668" t="str">
        <f>"110"</f>
        <v>110</v>
      </c>
      <c r="K3668" t="str">
        <f>"20240228"</f>
        <v>20240228</v>
      </c>
      <c r="L3668" t="s">
        <v>18</v>
      </c>
      <c r="M3668" t="str">
        <f>"20160414"</f>
        <v>20160414</v>
      </c>
    </row>
    <row r="3669" spans="1:13" x14ac:dyDescent="0.25">
      <c r="A3669" t="str">
        <f>"00526901"</f>
        <v>00526901</v>
      </c>
      <c r="B3669" t="s">
        <v>2678</v>
      </c>
      <c r="C3669" t="s">
        <v>136</v>
      </c>
      <c r="D3669" t="s">
        <v>61</v>
      </c>
      <c r="E3669" t="s">
        <v>16</v>
      </c>
      <c r="F3669" t="s">
        <v>17</v>
      </c>
      <c r="G3669" t="str">
        <f>"10"</f>
        <v>10</v>
      </c>
      <c r="H3669" t="str">
        <f>"3  "</f>
        <v xml:space="preserve">3  </v>
      </c>
      <c r="I3669" t="str">
        <f>"2019/09/27"</f>
        <v>2019/09/27</v>
      </c>
      <c r="J3669" t="str">
        <f>"502"</f>
        <v>502</v>
      </c>
      <c r="K3669" t="str">
        <f>"20201213"</f>
        <v>20201213</v>
      </c>
      <c r="L3669" t="s">
        <v>18</v>
      </c>
      <c r="M3669" t="str">
        <f>"20160824"</f>
        <v>20160824</v>
      </c>
    </row>
    <row r="3670" spans="1:13" x14ac:dyDescent="0.25">
      <c r="A3670" t="str">
        <f>"00234107"</f>
        <v>00234107</v>
      </c>
      <c r="B3670" t="s">
        <v>2679</v>
      </c>
      <c r="C3670" t="s">
        <v>1609</v>
      </c>
      <c r="D3670" t="s">
        <v>31</v>
      </c>
      <c r="E3670" t="s">
        <v>26</v>
      </c>
      <c r="F3670" t="s">
        <v>17</v>
      </c>
      <c r="G3670" t="str">
        <f>"10"</f>
        <v>10</v>
      </c>
      <c r="H3670" t="str">
        <f>"0  "</f>
        <v xml:space="preserve">0  </v>
      </c>
      <c r="I3670" t="str">
        <f>"2019/06/06"</f>
        <v>2019/06/06</v>
      </c>
      <c r="J3670" t="str">
        <f>"420"</f>
        <v>420</v>
      </c>
      <c r="K3670" t="s">
        <v>18</v>
      </c>
      <c r="L3670" t="s">
        <v>18</v>
      </c>
      <c r="M3670" t="s">
        <v>18</v>
      </c>
    </row>
    <row r="3671" spans="1:13" x14ac:dyDescent="0.25">
      <c r="A3671" t="str">
        <f>"00823410"</f>
        <v>00823410</v>
      </c>
      <c r="B3671" t="s">
        <v>2683</v>
      </c>
      <c r="C3671" t="s">
        <v>938</v>
      </c>
      <c r="D3671" t="s">
        <v>37</v>
      </c>
      <c r="E3671" t="s">
        <v>26</v>
      </c>
      <c r="F3671" t="s">
        <v>17</v>
      </c>
      <c r="G3671" t="str">
        <f>"10"</f>
        <v>10</v>
      </c>
      <c r="H3671" t="str">
        <f>"3  "</f>
        <v xml:space="preserve">3  </v>
      </c>
      <c r="I3671" t="str">
        <f>"2020/03/02"</f>
        <v>2020/03/02</v>
      </c>
      <c r="J3671" t="str">
        <f>"110"</f>
        <v>110</v>
      </c>
      <c r="K3671" t="str">
        <f>"20220507"</f>
        <v>20220507</v>
      </c>
      <c r="L3671" t="s">
        <v>18</v>
      </c>
      <c r="M3671" t="str">
        <f>"20190827"</f>
        <v>20190827</v>
      </c>
    </row>
    <row r="3672" spans="1:13" x14ac:dyDescent="0.25">
      <c r="A3672" t="str">
        <f>"00521394"</f>
        <v>00521394</v>
      </c>
      <c r="B3672" t="s">
        <v>2684</v>
      </c>
      <c r="C3672" t="s">
        <v>860</v>
      </c>
      <c r="D3672" t="s">
        <v>21</v>
      </c>
      <c r="E3672" t="s">
        <v>26</v>
      </c>
      <c r="F3672" t="s">
        <v>17</v>
      </c>
      <c r="G3672" t="str">
        <f>"10"</f>
        <v>10</v>
      </c>
      <c r="H3672" t="str">
        <f>"3  "</f>
        <v xml:space="preserve">3  </v>
      </c>
      <c r="I3672" t="str">
        <f>"2015/12/16"</f>
        <v>2015/12/16</v>
      </c>
      <c r="J3672" t="str">
        <f>"120"</f>
        <v>120</v>
      </c>
      <c r="K3672" t="str">
        <f>"20210421"</f>
        <v>20210421</v>
      </c>
      <c r="L3672" t="s">
        <v>18</v>
      </c>
      <c r="M3672" t="str">
        <f>"20150624"</f>
        <v>20150624</v>
      </c>
    </row>
    <row r="3673" spans="1:13" x14ac:dyDescent="0.25">
      <c r="A3673" t="str">
        <f>"00696243"</f>
        <v>00696243</v>
      </c>
      <c r="B3673" t="s">
        <v>2684</v>
      </c>
      <c r="C3673" t="s">
        <v>22</v>
      </c>
      <c r="D3673" t="s">
        <v>73</v>
      </c>
      <c r="E3673" t="s">
        <v>16</v>
      </c>
      <c r="F3673" t="s">
        <v>17</v>
      </c>
      <c r="G3673" t="str">
        <f>"10"</f>
        <v>10</v>
      </c>
      <c r="H3673" t="str">
        <f>"0  "</f>
        <v xml:space="preserve">0  </v>
      </c>
      <c r="I3673" t="str">
        <f>"2020/03/17"</f>
        <v>2020/03/17</v>
      </c>
      <c r="J3673" t="str">
        <f>"420"</f>
        <v>420</v>
      </c>
      <c r="K3673" t="s">
        <v>18</v>
      </c>
      <c r="L3673" t="s">
        <v>18</v>
      </c>
      <c r="M3673" t="s">
        <v>18</v>
      </c>
    </row>
    <row r="3674" spans="1:13" x14ac:dyDescent="0.25">
      <c r="A3674" t="str">
        <f>"00432823"</f>
        <v>00432823</v>
      </c>
      <c r="B3674" t="s">
        <v>2684</v>
      </c>
      <c r="C3674" t="s">
        <v>168</v>
      </c>
      <c r="D3674" t="s">
        <v>15</v>
      </c>
      <c r="E3674" t="s">
        <v>26</v>
      </c>
      <c r="F3674" t="s">
        <v>17</v>
      </c>
      <c r="G3674" t="str">
        <f>"10"</f>
        <v>10</v>
      </c>
      <c r="H3674" t="str">
        <f>"1  "</f>
        <v xml:space="preserve">1  </v>
      </c>
      <c r="I3674" t="str">
        <f>"2020/09/15"</f>
        <v>2020/09/15</v>
      </c>
      <c r="J3674" t="str">
        <f>"120"</f>
        <v>120</v>
      </c>
      <c r="K3674" t="str">
        <f>"20201020"</f>
        <v>20201020</v>
      </c>
      <c r="L3674" t="s">
        <v>18</v>
      </c>
      <c r="M3674" t="str">
        <f>"20200826"</f>
        <v>20200826</v>
      </c>
    </row>
    <row r="3675" spans="1:13" x14ac:dyDescent="0.25">
      <c r="A3675" t="str">
        <f>"00244340"</f>
        <v>00244340</v>
      </c>
      <c r="B3675" t="s">
        <v>2685</v>
      </c>
      <c r="C3675" t="s">
        <v>118</v>
      </c>
      <c r="D3675" t="s">
        <v>53</v>
      </c>
      <c r="E3675" t="s">
        <v>26</v>
      </c>
      <c r="F3675" t="s">
        <v>17</v>
      </c>
      <c r="G3675" t="str">
        <f>"10"</f>
        <v>10</v>
      </c>
      <c r="H3675" t="str">
        <f>"0  "</f>
        <v xml:space="preserve">0  </v>
      </c>
      <c r="I3675" t="str">
        <f>"2020/09/13"</f>
        <v>2020/09/13</v>
      </c>
      <c r="J3675" t="str">
        <f>"420"</f>
        <v>420</v>
      </c>
      <c r="K3675" t="s">
        <v>18</v>
      </c>
      <c r="L3675" t="s">
        <v>18</v>
      </c>
      <c r="M3675" t="s">
        <v>18</v>
      </c>
    </row>
    <row r="3676" spans="1:13" x14ac:dyDescent="0.25">
      <c r="A3676" t="str">
        <f>"00482532"</f>
        <v>00482532</v>
      </c>
      <c r="B3676" t="s">
        <v>2685</v>
      </c>
      <c r="C3676" t="s">
        <v>140</v>
      </c>
      <c r="D3676" t="s">
        <v>25</v>
      </c>
      <c r="E3676" t="s">
        <v>26</v>
      </c>
      <c r="F3676" t="s">
        <v>17</v>
      </c>
      <c r="G3676" t="str">
        <f>"10"</f>
        <v>10</v>
      </c>
      <c r="H3676" t="str">
        <f>"3  "</f>
        <v xml:space="preserve">3  </v>
      </c>
      <c r="I3676" t="str">
        <f>"2019/08/14"</f>
        <v>2019/08/14</v>
      </c>
      <c r="J3676" t="str">
        <f>"110"</f>
        <v>110</v>
      </c>
      <c r="K3676" t="str">
        <f>"20210823"</f>
        <v>20210823</v>
      </c>
      <c r="L3676" t="s">
        <v>18</v>
      </c>
      <c r="M3676" t="str">
        <f>"20181228"</f>
        <v>20181228</v>
      </c>
    </row>
    <row r="3677" spans="1:13" x14ac:dyDescent="0.25">
      <c r="A3677" t="str">
        <f>"00932556"</f>
        <v>00932556</v>
      </c>
      <c r="B3677" t="s">
        <v>2688</v>
      </c>
      <c r="C3677" t="s">
        <v>2689</v>
      </c>
      <c r="D3677" t="s">
        <v>51</v>
      </c>
      <c r="E3677" t="s">
        <v>16</v>
      </c>
      <c r="F3677" t="s">
        <v>17</v>
      </c>
      <c r="G3677" t="str">
        <f>"10"</f>
        <v>10</v>
      </c>
      <c r="H3677" t="str">
        <f>"0  "</f>
        <v xml:space="preserve">0  </v>
      </c>
      <c r="I3677" t="str">
        <f>"2020/07/09"</f>
        <v>2020/07/09</v>
      </c>
      <c r="J3677" t="str">
        <f>"420"</f>
        <v>420</v>
      </c>
      <c r="K3677" t="s">
        <v>18</v>
      </c>
      <c r="L3677" t="s">
        <v>18</v>
      </c>
      <c r="M3677" t="s">
        <v>18</v>
      </c>
    </row>
    <row r="3678" spans="1:13" x14ac:dyDescent="0.25">
      <c r="A3678" t="str">
        <f>"00713360"</f>
        <v>00713360</v>
      </c>
      <c r="B3678" t="s">
        <v>2693</v>
      </c>
      <c r="C3678" t="s">
        <v>2694</v>
      </c>
      <c r="D3678" t="s">
        <v>31</v>
      </c>
      <c r="E3678" t="s">
        <v>26</v>
      </c>
      <c r="F3678" t="s">
        <v>17</v>
      </c>
      <c r="G3678" t="str">
        <f>"10"</f>
        <v>10</v>
      </c>
      <c r="H3678" t="str">
        <f>"3  "</f>
        <v xml:space="preserve">3  </v>
      </c>
      <c r="I3678" t="str">
        <f>"2019/06/21"</f>
        <v>2019/06/21</v>
      </c>
      <c r="J3678" t="str">
        <f>"110"</f>
        <v>110</v>
      </c>
      <c r="K3678" t="str">
        <f>"20221211"</f>
        <v>20221211</v>
      </c>
      <c r="L3678" t="s">
        <v>18</v>
      </c>
      <c r="M3678" t="str">
        <f>"20180604"</f>
        <v>20180604</v>
      </c>
    </row>
    <row r="3679" spans="1:13" x14ac:dyDescent="0.25">
      <c r="A3679" t="str">
        <f>"00404384"</f>
        <v>00404384</v>
      </c>
      <c r="B3679" t="s">
        <v>2693</v>
      </c>
      <c r="C3679" t="s">
        <v>55</v>
      </c>
      <c r="D3679" t="s">
        <v>80</v>
      </c>
      <c r="E3679" t="s">
        <v>26</v>
      </c>
      <c r="F3679" t="s">
        <v>17</v>
      </c>
      <c r="G3679" t="str">
        <f>"10"</f>
        <v>10</v>
      </c>
      <c r="H3679" t="str">
        <f>"3  "</f>
        <v xml:space="preserve">3  </v>
      </c>
      <c r="I3679" t="str">
        <f>"2019/06/21"</f>
        <v>2019/06/21</v>
      </c>
      <c r="J3679" t="str">
        <f>"110"</f>
        <v>110</v>
      </c>
      <c r="K3679" t="str">
        <f>"20250812"</f>
        <v>20250812</v>
      </c>
      <c r="L3679" t="s">
        <v>18</v>
      </c>
      <c r="M3679" t="str">
        <f>"20181106"</f>
        <v>20181106</v>
      </c>
    </row>
    <row r="3680" spans="1:13" x14ac:dyDescent="0.25">
      <c r="A3680" t="str">
        <f>"00627250"</f>
        <v>00627250</v>
      </c>
      <c r="B3680" t="s">
        <v>2695</v>
      </c>
      <c r="C3680" t="s">
        <v>2696</v>
      </c>
      <c r="D3680" t="s">
        <v>25</v>
      </c>
      <c r="E3680" t="s">
        <v>26</v>
      </c>
      <c r="F3680" t="s">
        <v>17</v>
      </c>
      <c r="G3680" t="str">
        <f>"10"</f>
        <v>10</v>
      </c>
      <c r="H3680" t="str">
        <f>"0  "</f>
        <v xml:space="preserve">0  </v>
      </c>
      <c r="I3680" t="str">
        <f>"2020/02/25"</f>
        <v>2020/02/25</v>
      </c>
      <c r="J3680" t="str">
        <f>"420"</f>
        <v>420</v>
      </c>
      <c r="K3680" t="s">
        <v>18</v>
      </c>
      <c r="L3680" t="s">
        <v>18</v>
      </c>
      <c r="M3680" t="s">
        <v>18</v>
      </c>
    </row>
    <row r="3681" spans="1:13" x14ac:dyDescent="0.25">
      <c r="A3681" t="str">
        <f>"00640816"</f>
        <v>00640816</v>
      </c>
      <c r="B3681" t="s">
        <v>2695</v>
      </c>
      <c r="C3681" t="s">
        <v>2697</v>
      </c>
      <c r="D3681" t="s">
        <v>15</v>
      </c>
      <c r="E3681" t="s">
        <v>26</v>
      </c>
      <c r="F3681" t="s">
        <v>17</v>
      </c>
      <c r="G3681" t="str">
        <f>"10"</f>
        <v>10</v>
      </c>
      <c r="H3681" t="str">
        <f>"3  "</f>
        <v xml:space="preserve">3  </v>
      </c>
      <c r="I3681" t="str">
        <f>"2019/07/31"</f>
        <v>2019/07/31</v>
      </c>
      <c r="J3681" t="str">
        <f>"110"</f>
        <v>110</v>
      </c>
      <c r="K3681" t="str">
        <f>"20230626"</f>
        <v>20230626</v>
      </c>
      <c r="L3681" t="s">
        <v>18</v>
      </c>
      <c r="M3681" t="str">
        <f>"20190101"</f>
        <v>20190101</v>
      </c>
    </row>
    <row r="3682" spans="1:13" x14ac:dyDescent="0.25">
      <c r="A3682" t="str">
        <f>"00246429"</f>
        <v>00246429</v>
      </c>
      <c r="B3682" t="s">
        <v>2695</v>
      </c>
      <c r="C3682" t="s">
        <v>246</v>
      </c>
      <c r="D3682" t="s">
        <v>61</v>
      </c>
      <c r="E3682" t="s">
        <v>16</v>
      </c>
      <c r="F3682" t="s">
        <v>17</v>
      </c>
      <c r="G3682" t="str">
        <f>"10"</f>
        <v>10</v>
      </c>
      <c r="H3682" t="str">
        <f>"1  "</f>
        <v xml:space="preserve">1  </v>
      </c>
      <c r="I3682" t="str">
        <f>"2020/09/22"</f>
        <v>2020/09/22</v>
      </c>
      <c r="J3682" t="str">
        <f>"110"</f>
        <v>110</v>
      </c>
      <c r="K3682" t="str">
        <f>"20210813"</f>
        <v>20210813</v>
      </c>
      <c r="L3682" t="s">
        <v>18</v>
      </c>
      <c r="M3682" t="str">
        <f>"20200814"</f>
        <v>20200814</v>
      </c>
    </row>
    <row r="3683" spans="1:13" x14ac:dyDescent="0.25">
      <c r="A3683" t="str">
        <f>"00397142"</f>
        <v>00397142</v>
      </c>
      <c r="B3683" t="s">
        <v>2695</v>
      </c>
      <c r="C3683" t="s">
        <v>96</v>
      </c>
      <c r="D3683" t="s">
        <v>37</v>
      </c>
      <c r="E3683" t="s">
        <v>16</v>
      </c>
      <c r="F3683" t="s">
        <v>17</v>
      </c>
      <c r="G3683" t="str">
        <f>"10"</f>
        <v>10</v>
      </c>
      <c r="H3683" t="str">
        <f>"3  "</f>
        <v xml:space="preserve">3  </v>
      </c>
      <c r="I3683" t="str">
        <f>"2019/12/09"</f>
        <v>2019/12/09</v>
      </c>
      <c r="J3683" t="str">
        <f>"110"</f>
        <v>110</v>
      </c>
      <c r="K3683" t="str">
        <f>"20231022"</f>
        <v>20231022</v>
      </c>
      <c r="L3683" t="s">
        <v>18</v>
      </c>
      <c r="M3683" t="str">
        <f>"20190515"</f>
        <v>20190515</v>
      </c>
    </row>
    <row r="3684" spans="1:13" x14ac:dyDescent="0.25">
      <c r="A3684" t="str">
        <f>"00625608"</f>
        <v>00625608</v>
      </c>
      <c r="B3684" t="s">
        <v>2695</v>
      </c>
      <c r="C3684" t="s">
        <v>2066</v>
      </c>
      <c r="D3684" t="s">
        <v>31</v>
      </c>
      <c r="E3684" t="s">
        <v>26</v>
      </c>
      <c r="F3684" t="s">
        <v>17</v>
      </c>
      <c r="G3684" t="str">
        <f>"10"</f>
        <v>10</v>
      </c>
      <c r="H3684" t="str">
        <f>"3  "</f>
        <v xml:space="preserve">3  </v>
      </c>
      <c r="I3684" t="str">
        <f>"2016/02/23"</f>
        <v>2016/02/23</v>
      </c>
      <c r="J3684" t="str">
        <f>"110"</f>
        <v>110</v>
      </c>
      <c r="K3684" t="str">
        <f>"20230926"</f>
        <v>20230926</v>
      </c>
      <c r="L3684" t="s">
        <v>18</v>
      </c>
      <c r="M3684" t="str">
        <f>"20150213"</f>
        <v>20150213</v>
      </c>
    </row>
    <row r="3685" spans="1:13" x14ac:dyDescent="0.25">
      <c r="A3685" t="str">
        <f>"00341984"</f>
        <v>00341984</v>
      </c>
      <c r="B3685" t="s">
        <v>2695</v>
      </c>
      <c r="C3685" t="s">
        <v>645</v>
      </c>
      <c r="D3685" t="s">
        <v>37</v>
      </c>
      <c r="E3685" t="s">
        <v>26</v>
      </c>
      <c r="F3685" t="s">
        <v>17</v>
      </c>
      <c r="G3685" t="str">
        <f>"10"</f>
        <v>10</v>
      </c>
      <c r="H3685" t="str">
        <f>"1  "</f>
        <v xml:space="preserve">1  </v>
      </c>
      <c r="I3685" t="str">
        <f>"2020/03/05"</f>
        <v>2020/03/05</v>
      </c>
      <c r="J3685" t="str">
        <f>"512"</f>
        <v>512</v>
      </c>
      <c r="K3685" t="str">
        <f>"20201116"</f>
        <v>20201116</v>
      </c>
      <c r="L3685" t="s">
        <v>18</v>
      </c>
      <c r="M3685" t="str">
        <f>"20191211"</f>
        <v>20191211</v>
      </c>
    </row>
    <row r="3686" spans="1:13" x14ac:dyDescent="0.25">
      <c r="A3686" t="str">
        <f>"00655074"</f>
        <v>00655074</v>
      </c>
      <c r="B3686" t="s">
        <v>2699</v>
      </c>
      <c r="C3686" t="s">
        <v>2700</v>
      </c>
      <c r="D3686" t="s">
        <v>61</v>
      </c>
      <c r="E3686" t="s">
        <v>16</v>
      </c>
      <c r="F3686" t="s">
        <v>17</v>
      </c>
      <c r="G3686" t="str">
        <f>"10"</f>
        <v>10</v>
      </c>
      <c r="H3686" t="str">
        <f>"3  "</f>
        <v xml:space="preserve">3  </v>
      </c>
      <c r="I3686" t="str">
        <f>"2017/03/21"</f>
        <v>2017/03/21</v>
      </c>
      <c r="J3686" t="str">
        <f>"110"</f>
        <v>110</v>
      </c>
      <c r="K3686" t="str">
        <f>"20220526"</f>
        <v>20220526</v>
      </c>
      <c r="L3686" t="s">
        <v>18</v>
      </c>
      <c r="M3686" t="str">
        <f>"20160708"</f>
        <v>20160708</v>
      </c>
    </row>
    <row r="3687" spans="1:13" x14ac:dyDescent="0.25">
      <c r="A3687" t="str">
        <f>"00288108"</f>
        <v>00288108</v>
      </c>
      <c r="B3687" t="s">
        <v>2701</v>
      </c>
      <c r="C3687" t="s">
        <v>2702</v>
      </c>
      <c r="D3687" t="s">
        <v>25</v>
      </c>
      <c r="E3687" t="s">
        <v>26</v>
      </c>
      <c r="F3687" t="s">
        <v>17</v>
      </c>
      <c r="G3687" t="str">
        <f>"10"</f>
        <v>10</v>
      </c>
      <c r="H3687" t="str">
        <f>"0  "</f>
        <v xml:space="preserve">0  </v>
      </c>
      <c r="I3687" t="str">
        <f>"2020/07/25"</f>
        <v>2020/07/25</v>
      </c>
      <c r="J3687" t="str">
        <f>"420"</f>
        <v>420</v>
      </c>
      <c r="K3687" t="s">
        <v>18</v>
      </c>
      <c r="L3687" t="s">
        <v>18</v>
      </c>
      <c r="M3687" t="s">
        <v>18</v>
      </c>
    </row>
    <row r="3688" spans="1:13" x14ac:dyDescent="0.25">
      <c r="A3688" t="str">
        <f>"00431480"</f>
        <v>00431480</v>
      </c>
      <c r="B3688" t="s">
        <v>2701</v>
      </c>
      <c r="C3688" t="s">
        <v>225</v>
      </c>
      <c r="D3688" t="s">
        <v>53</v>
      </c>
      <c r="E3688" t="s">
        <v>16</v>
      </c>
      <c r="F3688" t="s">
        <v>17</v>
      </c>
      <c r="G3688" t="str">
        <f>"10"</f>
        <v>10</v>
      </c>
      <c r="H3688" t="str">
        <f>"3  "</f>
        <v xml:space="preserve">3  </v>
      </c>
      <c r="I3688" t="str">
        <f>"2019/09/27"</f>
        <v>2019/09/27</v>
      </c>
      <c r="J3688" t="str">
        <f>"502"</f>
        <v>502</v>
      </c>
      <c r="K3688" t="str">
        <f>"20220921"</f>
        <v>20220921</v>
      </c>
      <c r="L3688" t="s">
        <v>18</v>
      </c>
      <c r="M3688" t="str">
        <f>"20100201"</f>
        <v>20100201</v>
      </c>
    </row>
    <row r="3689" spans="1:13" x14ac:dyDescent="0.25">
      <c r="A3689" t="str">
        <f>"00415597"</f>
        <v>00415597</v>
      </c>
      <c r="B3689" t="s">
        <v>2706</v>
      </c>
      <c r="C3689" t="s">
        <v>2707</v>
      </c>
      <c r="D3689" t="s">
        <v>25</v>
      </c>
      <c r="E3689" t="s">
        <v>16</v>
      </c>
      <c r="F3689" t="s">
        <v>17</v>
      </c>
      <c r="G3689" t="str">
        <f>"10"</f>
        <v>10</v>
      </c>
      <c r="H3689" t="str">
        <f>"3  "</f>
        <v xml:space="preserve">3  </v>
      </c>
      <c r="I3689" t="str">
        <f>"2018/09/11"</f>
        <v>2018/09/11</v>
      </c>
      <c r="J3689" t="str">
        <f>"110"</f>
        <v>110</v>
      </c>
      <c r="K3689" t="str">
        <f>"20221018"</f>
        <v>20221018</v>
      </c>
      <c r="L3689" t="s">
        <v>18</v>
      </c>
      <c r="M3689" t="str">
        <f>"20180214"</f>
        <v>20180214</v>
      </c>
    </row>
    <row r="3690" spans="1:13" x14ac:dyDescent="0.25">
      <c r="A3690" t="str">
        <f>"00151006"</f>
        <v>00151006</v>
      </c>
      <c r="B3690" t="s">
        <v>2709</v>
      </c>
      <c r="C3690" t="s">
        <v>876</v>
      </c>
      <c r="D3690" t="s">
        <v>25</v>
      </c>
      <c r="E3690" t="s">
        <v>16</v>
      </c>
      <c r="F3690" t="s">
        <v>17</v>
      </c>
      <c r="G3690" t="str">
        <f>"10"</f>
        <v>10</v>
      </c>
      <c r="H3690" t="str">
        <f>"3  "</f>
        <v xml:space="preserve">3  </v>
      </c>
      <c r="I3690" t="str">
        <f>"2017/03/30"</f>
        <v>2017/03/30</v>
      </c>
      <c r="J3690" t="str">
        <f>"110"</f>
        <v>110</v>
      </c>
      <c r="K3690" t="str">
        <f>"20221113"</f>
        <v>20221113</v>
      </c>
      <c r="L3690" t="s">
        <v>18</v>
      </c>
      <c r="M3690" t="str">
        <f>"20160420"</f>
        <v>20160420</v>
      </c>
    </row>
    <row r="3691" spans="1:13" x14ac:dyDescent="0.25">
      <c r="A3691" t="str">
        <f>"00207745"</f>
        <v>00207745</v>
      </c>
      <c r="B3691" t="s">
        <v>2712</v>
      </c>
      <c r="C3691" t="s">
        <v>14</v>
      </c>
      <c r="D3691" t="s">
        <v>73</v>
      </c>
      <c r="E3691" t="s">
        <v>26</v>
      </c>
      <c r="F3691" t="s">
        <v>17</v>
      </c>
      <c r="G3691" t="str">
        <f>"10"</f>
        <v>10</v>
      </c>
      <c r="H3691" t="str">
        <f>"1  "</f>
        <v xml:space="preserve">1  </v>
      </c>
      <c r="I3691" t="str">
        <f>"2020/08/11"</f>
        <v>2020/08/11</v>
      </c>
      <c r="J3691" t="str">
        <f>"120"</f>
        <v>120</v>
      </c>
      <c r="K3691" t="str">
        <f>"20201118"</f>
        <v>20201118</v>
      </c>
      <c r="L3691" t="s">
        <v>18</v>
      </c>
      <c r="M3691" t="str">
        <f>"20200730"</f>
        <v>20200730</v>
      </c>
    </row>
    <row r="3692" spans="1:13" x14ac:dyDescent="0.25">
      <c r="A3692" t="str">
        <f>"00422386"</f>
        <v>00422386</v>
      </c>
      <c r="B3692" t="s">
        <v>2721</v>
      </c>
      <c r="C3692" t="s">
        <v>122</v>
      </c>
      <c r="D3692" t="s">
        <v>25</v>
      </c>
      <c r="E3692" t="s">
        <v>26</v>
      </c>
      <c r="F3692" t="s">
        <v>17</v>
      </c>
      <c r="G3692" t="str">
        <f>"10"</f>
        <v>10</v>
      </c>
      <c r="H3692" t="str">
        <f>"0  "</f>
        <v xml:space="preserve">0  </v>
      </c>
      <c r="I3692" t="str">
        <f>"2019/10/12"</f>
        <v>2019/10/12</v>
      </c>
      <c r="J3692" t="str">
        <f>"420"</f>
        <v>420</v>
      </c>
      <c r="K3692" t="s">
        <v>18</v>
      </c>
      <c r="L3692" t="s">
        <v>18</v>
      </c>
      <c r="M3692" t="s">
        <v>18</v>
      </c>
    </row>
    <row r="3693" spans="1:13" x14ac:dyDescent="0.25">
      <c r="A3693" t="str">
        <f>"00869207"</f>
        <v>00869207</v>
      </c>
      <c r="B3693" t="s">
        <v>2738</v>
      </c>
      <c r="C3693" t="s">
        <v>2741</v>
      </c>
      <c r="D3693" t="s">
        <v>15</v>
      </c>
      <c r="E3693" t="s">
        <v>26</v>
      </c>
      <c r="F3693" t="s">
        <v>17</v>
      </c>
      <c r="G3693" t="str">
        <f>"10"</f>
        <v>10</v>
      </c>
      <c r="H3693" t="str">
        <f>"3  "</f>
        <v xml:space="preserve">3  </v>
      </c>
      <c r="I3693" t="str">
        <f>"2018/07/31"</f>
        <v>2018/07/31</v>
      </c>
      <c r="J3693" t="str">
        <f>"110"</f>
        <v>110</v>
      </c>
      <c r="K3693" t="str">
        <f>"20220331"</f>
        <v>20220331</v>
      </c>
      <c r="L3693" t="s">
        <v>18</v>
      </c>
      <c r="M3693" t="str">
        <f>"20171123"</f>
        <v>20171123</v>
      </c>
    </row>
    <row r="3694" spans="1:13" x14ac:dyDescent="0.25">
      <c r="A3694" t="str">
        <f>"00898494"</f>
        <v>00898494</v>
      </c>
      <c r="B3694" t="s">
        <v>2742</v>
      </c>
      <c r="C3694" t="s">
        <v>333</v>
      </c>
      <c r="D3694" t="s">
        <v>25</v>
      </c>
      <c r="E3694" t="s">
        <v>16</v>
      </c>
      <c r="F3694" t="s">
        <v>17</v>
      </c>
      <c r="G3694" t="str">
        <f>"10"</f>
        <v>10</v>
      </c>
      <c r="H3694" t="str">
        <f>"3  "</f>
        <v xml:space="preserve">3  </v>
      </c>
      <c r="I3694" t="str">
        <f>"2019/10/18"</f>
        <v>2019/10/18</v>
      </c>
      <c r="J3694" t="str">
        <f>"110"</f>
        <v>110</v>
      </c>
      <c r="K3694" t="str">
        <f>"20210403"</f>
        <v>20210403</v>
      </c>
      <c r="L3694" t="s">
        <v>18</v>
      </c>
      <c r="M3694" t="str">
        <f>"20190123"</f>
        <v>20190123</v>
      </c>
    </row>
    <row r="3695" spans="1:13" x14ac:dyDescent="0.25">
      <c r="A3695" t="str">
        <f>"00917450"</f>
        <v>00917450</v>
      </c>
      <c r="B3695" t="s">
        <v>2743</v>
      </c>
      <c r="C3695" t="s">
        <v>2744</v>
      </c>
      <c r="D3695" t="s">
        <v>97</v>
      </c>
      <c r="E3695" t="s">
        <v>26</v>
      </c>
      <c r="F3695" t="s">
        <v>17</v>
      </c>
      <c r="G3695" t="str">
        <f>"10"</f>
        <v>10</v>
      </c>
      <c r="H3695" t="str">
        <f>"0  "</f>
        <v xml:space="preserve">0  </v>
      </c>
      <c r="I3695" t="str">
        <f>"2020/09/02"</f>
        <v>2020/09/02</v>
      </c>
      <c r="J3695" t="str">
        <f>"420"</f>
        <v>420</v>
      </c>
      <c r="K3695" t="s">
        <v>18</v>
      </c>
      <c r="L3695" t="s">
        <v>18</v>
      </c>
      <c r="M3695" t="s">
        <v>18</v>
      </c>
    </row>
    <row r="3696" spans="1:13" x14ac:dyDescent="0.25">
      <c r="A3696" t="str">
        <f>"00143565"</f>
        <v>00143565</v>
      </c>
      <c r="B3696" t="s">
        <v>2746</v>
      </c>
      <c r="C3696" t="s">
        <v>655</v>
      </c>
      <c r="D3696" t="s">
        <v>80</v>
      </c>
      <c r="E3696" t="s">
        <v>16</v>
      </c>
      <c r="F3696" t="s">
        <v>17</v>
      </c>
      <c r="G3696" t="str">
        <f>"10"</f>
        <v>10</v>
      </c>
      <c r="H3696" t="str">
        <f>"0  "</f>
        <v xml:space="preserve">0  </v>
      </c>
      <c r="I3696" t="str">
        <f>"2020/08/03"</f>
        <v>2020/08/03</v>
      </c>
      <c r="J3696" t="str">
        <f>"420"</f>
        <v>420</v>
      </c>
      <c r="K3696" t="s">
        <v>18</v>
      </c>
      <c r="L3696" t="s">
        <v>18</v>
      </c>
      <c r="M3696" t="s">
        <v>18</v>
      </c>
    </row>
    <row r="3697" spans="1:13" x14ac:dyDescent="0.25">
      <c r="A3697" t="str">
        <f>"00291434"</f>
        <v>00291434</v>
      </c>
      <c r="B3697" t="s">
        <v>2755</v>
      </c>
      <c r="C3697" t="s">
        <v>55</v>
      </c>
      <c r="D3697" t="s">
        <v>15</v>
      </c>
      <c r="E3697" t="s">
        <v>16</v>
      </c>
      <c r="F3697" t="s">
        <v>17</v>
      </c>
      <c r="G3697" t="str">
        <f>"10"</f>
        <v>10</v>
      </c>
      <c r="H3697" t="str">
        <f>"3  "</f>
        <v xml:space="preserve">3  </v>
      </c>
      <c r="I3697" t="str">
        <f>"2018/01/23"</f>
        <v>2018/01/23</v>
      </c>
      <c r="J3697" t="str">
        <f>"110"</f>
        <v>110</v>
      </c>
      <c r="K3697" t="str">
        <f>"20240717"</f>
        <v>20240717</v>
      </c>
      <c r="L3697" t="str">
        <f>"20240222"</f>
        <v>20240222</v>
      </c>
      <c r="M3697" t="str">
        <f>"20180110"</f>
        <v>20180110</v>
      </c>
    </row>
    <row r="3698" spans="1:13" x14ac:dyDescent="0.25">
      <c r="A3698" t="str">
        <f>"00927750"</f>
        <v>00927750</v>
      </c>
      <c r="B3698" t="s">
        <v>2756</v>
      </c>
      <c r="C3698" t="s">
        <v>115</v>
      </c>
      <c r="D3698" t="s">
        <v>25</v>
      </c>
      <c r="E3698" t="s">
        <v>16</v>
      </c>
      <c r="F3698" t="s">
        <v>17</v>
      </c>
      <c r="G3698" t="str">
        <f>"10"</f>
        <v>10</v>
      </c>
      <c r="H3698" t="str">
        <f>"0  "</f>
        <v xml:space="preserve">0  </v>
      </c>
      <c r="I3698" t="str">
        <f>"2020/05/18"</f>
        <v>2020/05/18</v>
      </c>
      <c r="J3698" t="str">
        <f>"420"</f>
        <v>420</v>
      </c>
      <c r="K3698" t="s">
        <v>18</v>
      </c>
      <c r="L3698" t="s">
        <v>18</v>
      </c>
      <c r="M3698" t="s">
        <v>18</v>
      </c>
    </row>
    <row r="3699" spans="1:13" x14ac:dyDescent="0.25">
      <c r="A3699" t="str">
        <f>"00645829"</f>
        <v>00645829</v>
      </c>
      <c r="B3699" t="s">
        <v>2756</v>
      </c>
      <c r="C3699" t="s">
        <v>2757</v>
      </c>
      <c r="D3699" t="s">
        <v>51</v>
      </c>
      <c r="E3699" t="s">
        <v>26</v>
      </c>
      <c r="F3699" t="s">
        <v>17</v>
      </c>
      <c r="G3699" t="str">
        <f>"10"</f>
        <v>10</v>
      </c>
      <c r="H3699" t="str">
        <f>"0  "</f>
        <v xml:space="preserve">0  </v>
      </c>
      <c r="I3699" t="str">
        <f>"2020/07/05"</f>
        <v>2020/07/05</v>
      </c>
      <c r="J3699" t="str">
        <f>"420"</f>
        <v>420</v>
      </c>
      <c r="K3699" t="s">
        <v>18</v>
      </c>
      <c r="L3699" t="s">
        <v>18</v>
      </c>
      <c r="M3699" t="s">
        <v>18</v>
      </c>
    </row>
    <row r="3700" spans="1:13" x14ac:dyDescent="0.25">
      <c r="A3700" t="str">
        <f>"00513022"</f>
        <v>00513022</v>
      </c>
      <c r="B3700" t="s">
        <v>2758</v>
      </c>
      <c r="C3700" t="s">
        <v>144</v>
      </c>
      <c r="D3700" t="s">
        <v>25</v>
      </c>
      <c r="E3700" t="s">
        <v>26</v>
      </c>
      <c r="F3700" t="s">
        <v>17</v>
      </c>
      <c r="G3700" t="str">
        <f>"10"</f>
        <v>10</v>
      </c>
      <c r="H3700" t="str">
        <f>"0  "</f>
        <v xml:space="preserve">0  </v>
      </c>
      <c r="I3700" t="str">
        <f>"2020/09/16"</f>
        <v>2020/09/16</v>
      </c>
      <c r="J3700" t="str">
        <f>"420"</f>
        <v>420</v>
      </c>
      <c r="K3700" t="s">
        <v>18</v>
      </c>
      <c r="L3700" t="s">
        <v>18</v>
      </c>
      <c r="M3700" t="s">
        <v>18</v>
      </c>
    </row>
    <row r="3701" spans="1:13" x14ac:dyDescent="0.25">
      <c r="A3701" t="str">
        <f>"00763069"</f>
        <v>00763069</v>
      </c>
      <c r="B3701" t="s">
        <v>2758</v>
      </c>
      <c r="C3701" t="s">
        <v>2759</v>
      </c>
      <c r="D3701" t="s">
        <v>25</v>
      </c>
      <c r="E3701" t="s">
        <v>26</v>
      </c>
      <c r="F3701" t="s">
        <v>17</v>
      </c>
      <c r="G3701" t="str">
        <f>"10"</f>
        <v>10</v>
      </c>
      <c r="H3701" t="str">
        <f>"1  "</f>
        <v xml:space="preserve">1  </v>
      </c>
      <c r="I3701" t="str">
        <f>"2020/09/14"</f>
        <v>2020/09/14</v>
      </c>
      <c r="J3701" t="str">
        <f>"110"</f>
        <v>110</v>
      </c>
      <c r="K3701" t="str">
        <f>"20210301"</f>
        <v>20210301</v>
      </c>
      <c r="L3701" t="s">
        <v>18</v>
      </c>
      <c r="M3701" t="str">
        <f>"20200914"</f>
        <v>20200914</v>
      </c>
    </row>
    <row r="3702" spans="1:13" x14ac:dyDescent="0.25">
      <c r="A3702" t="str">
        <f>"00693314"</f>
        <v>00693314</v>
      </c>
      <c r="B3702" t="s">
        <v>2778</v>
      </c>
      <c r="C3702" t="s">
        <v>2779</v>
      </c>
      <c r="D3702" t="s">
        <v>25</v>
      </c>
      <c r="E3702" t="s">
        <v>16</v>
      </c>
      <c r="F3702" t="s">
        <v>17</v>
      </c>
      <c r="G3702" t="str">
        <f>"10"</f>
        <v>10</v>
      </c>
      <c r="H3702" t="str">
        <f>"3  "</f>
        <v xml:space="preserve">3  </v>
      </c>
      <c r="I3702" t="str">
        <f>"2019/03/15"</f>
        <v>2019/03/15</v>
      </c>
      <c r="J3702" t="str">
        <f>"110"</f>
        <v>110</v>
      </c>
      <c r="K3702" t="str">
        <f>"20230304"</f>
        <v>20230304</v>
      </c>
      <c r="L3702" t="s">
        <v>18</v>
      </c>
      <c r="M3702" t="str">
        <f>"20171205"</f>
        <v>20171205</v>
      </c>
    </row>
    <row r="3703" spans="1:13" x14ac:dyDescent="0.25">
      <c r="A3703" t="str">
        <f>"00228756"</f>
        <v>00228756</v>
      </c>
      <c r="B3703" t="s">
        <v>2785</v>
      </c>
      <c r="C3703" t="s">
        <v>22</v>
      </c>
      <c r="D3703" t="s">
        <v>26</v>
      </c>
      <c r="E3703" t="s">
        <v>16</v>
      </c>
      <c r="F3703" t="s">
        <v>17</v>
      </c>
      <c r="G3703" t="str">
        <f>"10"</f>
        <v>10</v>
      </c>
      <c r="H3703" t="str">
        <f>"0  "</f>
        <v xml:space="preserve">0  </v>
      </c>
      <c r="I3703" t="str">
        <f>"2020/09/17"</f>
        <v>2020/09/17</v>
      </c>
      <c r="J3703" t="str">
        <f>"420"</f>
        <v>420</v>
      </c>
      <c r="K3703" t="s">
        <v>18</v>
      </c>
      <c r="L3703" t="s">
        <v>18</v>
      </c>
      <c r="M3703" t="s">
        <v>18</v>
      </c>
    </row>
    <row r="3704" spans="1:13" x14ac:dyDescent="0.25">
      <c r="A3704" t="str">
        <f>"00705104"</f>
        <v>00705104</v>
      </c>
      <c r="B3704" t="s">
        <v>2786</v>
      </c>
      <c r="C3704" t="s">
        <v>1250</v>
      </c>
      <c r="D3704" t="s">
        <v>61</v>
      </c>
      <c r="E3704" t="s">
        <v>16</v>
      </c>
      <c r="F3704" t="s">
        <v>17</v>
      </c>
      <c r="G3704" t="str">
        <f>"10"</f>
        <v>10</v>
      </c>
      <c r="H3704" t="str">
        <f>"1  "</f>
        <v xml:space="preserve">1  </v>
      </c>
      <c r="I3704" t="str">
        <f>"2020/09/22"</f>
        <v>2020/09/22</v>
      </c>
      <c r="J3704" t="str">
        <f>"120"</f>
        <v>120</v>
      </c>
      <c r="K3704" t="str">
        <f>"20210301"</f>
        <v>20210301</v>
      </c>
      <c r="L3704" t="s">
        <v>18</v>
      </c>
      <c r="M3704" t="str">
        <f>"20200914"</f>
        <v>20200914</v>
      </c>
    </row>
    <row r="3705" spans="1:13" x14ac:dyDescent="0.25">
      <c r="A3705" t="str">
        <f>"00809292"</f>
        <v>00809292</v>
      </c>
      <c r="B3705" t="s">
        <v>2791</v>
      </c>
      <c r="C3705" t="s">
        <v>135</v>
      </c>
      <c r="D3705" t="s">
        <v>31</v>
      </c>
      <c r="E3705" t="s">
        <v>16</v>
      </c>
      <c r="F3705" t="s">
        <v>17</v>
      </c>
      <c r="G3705" t="str">
        <f>"10"</f>
        <v>10</v>
      </c>
      <c r="H3705" t="str">
        <f>"3  "</f>
        <v xml:space="preserve">3  </v>
      </c>
      <c r="I3705" t="str">
        <f>"2020/07/20"</f>
        <v>2020/07/20</v>
      </c>
      <c r="J3705" t="str">
        <f>"512"</f>
        <v>512</v>
      </c>
      <c r="K3705" t="str">
        <f>"20220501"</f>
        <v>20220501</v>
      </c>
      <c r="L3705" t="s">
        <v>18</v>
      </c>
      <c r="M3705" t="str">
        <f>"20200706"</f>
        <v>20200706</v>
      </c>
    </row>
    <row r="3706" spans="1:13" x14ac:dyDescent="0.25">
      <c r="A3706" t="str">
        <f>"00567440"</f>
        <v>00567440</v>
      </c>
      <c r="B3706" t="s">
        <v>2794</v>
      </c>
      <c r="C3706" t="s">
        <v>560</v>
      </c>
      <c r="D3706" t="s">
        <v>21</v>
      </c>
      <c r="E3706" t="s">
        <v>26</v>
      </c>
      <c r="F3706" t="s">
        <v>17</v>
      </c>
      <c r="G3706" t="str">
        <f>"10"</f>
        <v>10</v>
      </c>
      <c r="H3706" t="str">
        <f>"3  "</f>
        <v xml:space="preserve">3  </v>
      </c>
      <c r="I3706" t="str">
        <f>"2017/08/07"</f>
        <v>2017/08/07</v>
      </c>
      <c r="J3706" t="str">
        <f>"110"</f>
        <v>110</v>
      </c>
      <c r="K3706" t="str">
        <f>"20210115"</f>
        <v>20210115</v>
      </c>
      <c r="L3706" t="s">
        <v>18</v>
      </c>
      <c r="M3706" t="str">
        <f>"20161027"</f>
        <v>20161027</v>
      </c>
    </row>
    <row r="3707" spans="1:13" x14ac:dyDescent="0.25">
      <c r="A3707" t="str">
        <f>"00812424"</f>
        <v>00812424</v>
      </c>
      <c r="B3707" t="s">
        <v>2796</v>
      </c>
      <c r="C3707" t="s">
        <v>2797</v>
      </c>
      <c r="D3707" t="s">
        <v>25</v>
      </c>
      <c r="E3707" t="s">
        <v>26</v>
      </c>
      <c r="F3707" t="s">
        <v>17</v>
      </c>
      <c r="G3707" t="str">
        <f>"10"</f>
        <v>10</v>
      </c>
      <c r="H3707" t="str">
        <f>"0  "</f>
        <v xml:space="preserve">0  </v>
      </c>
      <c r="I3707" t="str">
        <f>"2019/08/14"</f>
        <v>2019/08/14</v>
      </c>
      <c r="J3707" t="str">
        <f>"440"</f>
        <v>440</v>
      </c>
      <c r="K3707" t="s">
        <v>18</v>
      </c>
      <c r="L3707" t="s">
        <v>18</v>
      </c>
      <c r="M3707" t="s">
        <v>18</v>
      </c>
    </row>
    <row r="3708" spans="1:13" x14ac:dyDescent="0.25">
      <c r="A3708" t="str">
        <f>"00608839"</f>
        <v>00608839</v>
      </c>
      <c r="B3708" t="s">
        <v>2798</v>
      </c>
      <c r="C3708" t="s">
        <v>1339</v>
      </c>
      <c r="D3708" t="s">
        <v>25</v>
      </c>
      <c r="E3708" t="s">
        <v>16</v>
      </c>
      <c r="F3708" t="s">
        <v>17</v>
      </c>
      <c r="G3708" t="str">
        <f>"10"</f>
        <v>10</v>
      </c>
      <c r="H3708" t="str">
        <f>"0  "</f>
        <v xml:space="preserve">0  </v>
      </c>
      <c r="I3708" t="str">
        <f>"2020/01/27"</f>
        <v>2020/01/27</v>
      </c>
      <c r="J3708" t="str">
        <f>"420"</f>
        <v>420</v>
      </c>
      <c r="K3708" t="s">
        <v>18</v>
      </c>
      <c r="L3708" t="s">
        <v>18</v>
      </c>
      <c r="M3708" t="s">
        <v>18</v>
      </c>
    </row>
    <row r="3709" spans="1:13" x14ac:dyDescent="0.25">
      <c r="A3709" t="str">
        <f>"00589999"</f>
        <v>00589999</v>
      </c>
      <c r="B3709" t="s">
        <v>2799</v>
      </c>
      <c r="C3709" t="s">
        <v>66</v>
      </c>
      <c r="D3709" t="s">
        <v>61</v>
      </c>
      <c r="E3709" t="s">
        <v>16</v>
      </c>
      <c r="F3709" t="s">
        <v>17</v>
      </c>
      <c r="G3709" t="str">
        <f>"10"</f>
        <v>10</v>
      </c>
      <c r="H3709" t="str">
        <f>"3  "</f>
        <v xml:space="preserve">3  </v>
      </c>
      <c r="I3709" t="str">
        <f>"2019/08/19"</f>
        <v>2019/08/19</v>
      </c>
      <c r="J3709" t="str">
        <f>"110"</f>
        <v>110</v>
      </c>
      <c r="K3709" t="str">
        <f>"20211104"</f>
        <v>20211104</v>
      </c>
      <c r="L3709" t="s">
        <v>18</v>
      </c>
      <c r="M3709" t="str">
        <f>"20181003"</f>
        <v>20181003</v>
      </c>
    </row>
    <row r="3710" spans="1:13" x14ac:dyDescent="0.25">
      <c r="A3710" t="str">
        <f>"00933805"</f>
        <v>00933805</v>
      </c>
      <c r="B3710" t="s">
        <v>2800</v>
      </c>
      <c r="C3710" t="s">
        <v>2702</v>
      </c>
      <c r="D3710" t="s">
        <v>25</v>
      </c>
      <c r="E3710" t="s">
        <v>16</v>
      </c>
      <c r="F3710" t="s">
        <v>17</v>
      </c>
      <c r="G3710" t="str">
        <f>"10"</f>
        <v>10</v>
      </c>
      <c r="H3710" t="str">
        <f>"0  "</f>
        <v xml:space="preserve">0  </v>
      </c>
      <c r="I3710" t="str">
        <f>"2020/07/29"</f>
        <v>2020/07/29</v>
      </c>
      <c r="J3710" t="str">
        <f>"512"</f>
        <v>512</v>
      </c>
      <c r="K3710" t="s">
        <v>18</v>
      </c>
      <c r="L3710" t="s">
        <v>18</v>
      </c>
      <c r="M3710" t="s">
        <v>18</v>
      </c>
    </row>
    <row r="3711" spans="1:13" x14ac:dyDescent="0.25">
      <c r="A3711" t="str">
        <f>"00483600"</f>
        <v>00483600</v>
      </c>
      <c r="B3711" t="s">
        <v>2804</v>
      </c>
      <c r="C3711" t="s">
        <v>74</v>
      </c>
      <c r="D3711" t="s">
        <v>51</v>
      </c>
      <c r="E3711" t="s">
        <v>26</v>
      </c>
      <c r="F3711" t="s">
        <v>17</v>
      </c>
      <c r="G3711" t="str">
        <f>"10"</f>
        <v>10</v>
      </c>
      <c r="H3711" t="str">
        <f>"3  "</f>
        <v xml:space="preserve">3  </v>
      </c>
      <c r="I3711" t="str">
        <f>"2020/02/14"</f>
        <v>2020/02/14</v>
      </c>
      <c r="J3711" t="str">
        <f>"120"</f>
        <v>120</v>
      </c>
      <c r="K3711" t="str">
        <f>"20250419"</f>
        <v>20250419</v>
      </c>
      <c r="L3711" t="s">
        <v>18</v>
      </c>
      <c r="M3711" t="str">
        <f>"20191016"</f>
        <v>20191016</v>
      </c>
    </row>
    <row r="3712" spans="1:13" x14ac:dyDescent="0.25">
      <c r="A3712" t="str">
        <f>"00757039"</f>
        <v>00757039</v>
      </c>
      <c r="B3712" t="s">
        <v>2806</v>
      </c>
      <c r="C3712" t="s">
        <v>2807</v>
      </c>
      <c r="D3712" t="s">
        <v>25</v>
      </c>
      <c r="E3712" t="s">
        <v>26</v>
      </c>
      <c r="F3712" t="s">
        <v>17</v>
      </c>
      <c r="G3712" t="str">
        <f>"10"</f>
        <v>10</v>
      </c>
      <c r="H3712" t="str">
        <f>"3  "</f>
        <v xml:space="preserve">3  </v>
      </c>
      <c r="I3712" t="str">
        <f>"2017/07/24"</f>
        <v>2017/07/24</v>
      </c>
      <c r="J3712" t="str">
        <f>"110"</f>
        <v>110</v>
      </c>
      <c r="K3712" t="str">
        <f>"20201123"</f>
        <v>20201123</v>
      </c>
      <c r="L3712" t="s">
        <v>18</v>
      </c>
      <c r="M3712" t="str">
        <f>"20160909"</f>
        <v>20160909</v>
      </c>
    </row>
    <row r="3713" spans="1:13" x14ac:dyDescent="0.25">
      <c r="A3713" t="str">
        <f>"00422787"</f>
        <v>00422787</v>
      </c>
      <c r="B3713" t="s">
        <v>2808</v>
      </c>
      <c r="C3713" t="s">
        <v>484</v>
      </c>
      <c r="D3713" t="s">
        <v>21</v>
      </c>
      <c r="E3713" t="s">
        <v>16</v>
      </c>
      <c r="F3713" t="s">
        <v>17</v>
      </c>
      <c r="G3713" t="str">
        <f>"10"</f>
        <v>10</v>
      </c>
      <c r="H3713" t="str">
        <f>"0  "</f>
        <v xml:space="preserve">0  </v>
      </c>
      <c r="I3713" t="str">
        <f>"2020/03/24"</f>
        <v>2020/03/24</v>
      </c>
      <c r="J3713" t="str">
        <f>"420"</f>
        <v>420</v>
      </c>
      <c r="K3713" t="s">
        <v>18</v>
      </c>
      <c r="L3713" t="s">
        <v>18</v>
      </c>
      <c r="M3713" t="s">
        <v>18</v>
      </c>
    </row>
    <row r="3714" spans="1:13" x14ac:dyDescent="0.25">
      <c r="A3714" t="str">
        <f>"00563094"</f>
        <v>00563094</v>
      </c>
      <c r="B3714" t="s">
        <v>2808</v>
      </c>
      <c r="C3714" t="s">
        <v>167</v>
      </c>
      <c r="D3714" t="s">
        <v>15</v>
      </c>
      <c r="E3714" t="s">
        <v>26</v>
      </c>
      <c r="F3714" t="s">
        <v>17</v>
      </c>
      <c r="G3714" t="str">
        <f>"10"</f>
        <v>10</v>
      </c>
      <c r="H3714" t="str">
        <f>"0  "</f>
        <v xml:space="preserve">0  </v>
      </c>
      <c r="I3714" t="str">
        <f>"2020/03/01"</f>
        <v>2020/03/01</v>
      </c>
      <c r="J3714" t="str">
        <f>"420"</f>
        <v>420</v>
      </c>
      <c r="K3714" t="s">
        <v>18</v>
      </c>
      <c r="L3714" t="s">
        <v>18</v>
      </c>
      <c r="M3714" t="s">
        <v>18</v>
      </c>
    </row>
    <row r="3715" spans="1:13" x14ac:dyDescent="0.25">
      <c r="A3715" t="str">
        <f>"00606479"</f>
        <v>00606479</v>
      </c>
      <c r="B3715" t="s">
        <v>2811</v>
      </c>
      <c r="C3715" t="s">
        <v>1064</v>
      </c>
      <c r="D3715" t="s">
        <v>91</v>
      </c>
      <c r="E3715" t="s">
        <v>16</v>
      </c>
      <c r="F3715" t="s">
        <v>17</v>
      </c>
      <c r="G3715" t="str">
        <f>"10"</f>
        <v>10</v>
      </c>
      <c r="H3715" t="str">
        <f>"1  "</f>
        <v xml:space="preserve">1  </v>
      </c>
      <c r="I3715" t="str">
        <f>"2020/08/11"</f>
        <v>2020/08/11</v>
      </c>
      <c r="J3715" t="str">
        <f>"120"</f>
        <v>120</v>
      </c>
      <c r="K3715" t="str">
        <f>"20200924"</f>
        <v>20200924</v>
      </c>
      <c r="L3715" t="s">
        <v>18</v>
      </c>
      <c r="M3715" t="str">
        <f>"20200731"</f>
        <v>20200731</v>
      </c>
    </row>
    <row r="3716" spans="1:13" x14ac:dyDescent="0.25">
      <c r="A3716" t="str">
        <f>"00381379"</f>
        <v>00381379</v>
      </c>
      <c r="B3716" t="s">
        <v>2812</v>
      </c>
      <c r="C3716" t="s">
        <v>96</v>
      </c>
      <c r="D3716" t="s">
        <v>25</v>
      </c>
      <c r="E3716" t="s">
        <v>16</v>
      </c>
      <c r="F3716" t="s">
        <v>17</v>
      </c>
      <c r="G3716" t="str">
        <f>"10"</f>
        <v>10</v>
      </c>
      <c r="H3716" t="str">
        <f>"3  "</f>
        <v xml:space="preserve">3  </v>
      </c>
      <c r="I3716" t="str">
        <f>"2020/09/01"</f>
        <v>2020/09/01</v>
      </c>
      <c r="J3716" t="str">
        <f>"503"</f>
        <v>503</v>
      </c>
      <c r="K3716" t="str">
        <f>"20230923"</f>
        <v>20230923</v>
      </c>
      <c r="L3716" t="s">
        <v>18</v>
      </c>
      <c r="M3716" t="str">
        <f>"20160824"</f>
        <v>20160824</v>
      </c>
    </row>
    <row r="3717" spans="1:13" x14ac:dyDescent="0.25">
      <c r="A3717" t="str">
        <f>"00935277"</f>
        <v>00935277</v>
      </c>
      <c r="B3717" t="s">
        <v>2815</v>
      </c>
      <c r="C3717" t="s">
        <v>2816</v>
      </c>
      <c r="D3717" t="s">
        <v>21</v>
      </c>
      <c r="E3717" t="s">
        <v>26</v>
      </c>
      <c r="F3717" t="s">
        <v>17</v>
      </c>
      <c r="G3717" t="str">
        <f>"10"</f>
        <v>10</v>
      </c>
      <c r="H3717" t="str">
        <f>"0  "</f>
        <v xml:space="preserve">0  </v>
      </c>
      <c r="I3717" t="str">
        <f>"2020/08/20"</f>
        <v>2020/08/20</v>
      </c>
      <c r="J3717" t="str">
        <f>"420"</f>
        <v>420</v>
      </c>
      <c r="K3717" t="s">
        <v>18</v>
      </c>
      <c r="L3717" t="s">
        <v>18</v>
      </c>
      <c r="M3717" t="s">
        <v>18</v>
      </c>
    </row>
    <row r="3718" spans="1:13" x14ac:dyDescent="0.25">
      <c r="A3718" t="str">
        <f>"00501683"</f>
        <v>00501683</v>
      </c>
      <c r="B3718" t="s">
        <v>2826</v>
      </c>
      <c r="C3718" t="s">
        <v>74</v>
      </c>
      <c r="D3718" t="s">
        <v>97</v>
      </c>
      <c r="E3718" t="s">
        <v>16</v>
      </c>
      <c r="F3718" t="s">
        <v>17</v>
      </c>
      <c r="G3718" t="str">
        <f>"10"</f>
        <v>10</v>
      </c>
      <c r="H3718" t="str">
        <f>"0  "</f>
        <v xml:space="preserve">0  </v>
      </c>
      <c r="I3718" t="str">
        <f>"2020/05/13"</f>
        <v>2020/05/13</v>
      </c>
      <c r="J3718" t="str">
        <f>"420"</f>
        <v>420</v>
      </c>
      <c r="K3718" t="s">
        <v>18</v>
      </c>
      <c r="L3718" t="s">
        <v>18</v>
      </c>
      <c r="M3718" t="s">
        <v>18</v>
      </c>
    </row>
    <row r="3719" spans="1:13" x14ac:dyDescent="0.25">
      <c r="A3719" t="str">
        <f>"00569531"</f>
        <v>00569531</v>
      </c>
      <c r="B3719" t="s">
        <v>2826</v>
      </c>
      <c r="C3719" t="s">
        <v>2827</v>
      </c>
      <c r="D3719" t="s">
        <v>16</v>
      </c>
      <c r="E3719" t="s">
        <v>26</v>
      </c>
      <c r="F3719" t="s">
        <v>17</v>
      </c>
      <c r="G3719" t="str">
        <f>"10"</f>
        <v>10</v>
      </c>
      <c r="H3719" t="str">
        <f>"3  "</f>
        <v xml:space="preserve">3  </v>
      </c>
      <c r="I3719" t="str">
        <f>"2017/02/10"</f>
        <v>2017/02/10</v>
      </c>
      <c r="J3719" t="str">
        <f>"120"</f>
        <v>120</v>
      </c>
      <c r="K3719" t="str">
        <f>"20230612"</f>
        <v>20230612</v>
      </c>
      <c r="L3719" t="s">
        <v>18</v>
      </c>
      <c r="M3719" t="str">
        <f>"20160519"</f>
        <v>20160519</v>
      </c>
    </row>
    <row r="3720" spans="1:13" x14ac:dyDescent="0.25">
      <c r="A3720" t="str">
        <f>"00727841"</f>
        <v>00727841</v>
      </c>
      <c r="B3720" t="s">
        <v>2829</v>
      </c>
      <c r="C3720" t="s">
        <v>555</v>
      </c>
      <c r="D3720" t="s">
        <v>25</v>
      </c>
      <c r="E3720" t="s">
        <v>16</v>
      </c>
      <c r="F3720" t="s">
        <v>17</v>
      </c>
      <c r="G3720" t="str">
        <f>"10"</f>
        <v>10</v>
      </c>
      <c r="H3720" t="str">
        <f>"1  "</f>
        <v xml:space="preserve">1  </v>
      </c>
      <c r="I3720" t="str">
        <f>"2020/08/18"</f>
        <v>2020/08/18</v>
      </c>
      <c r="J3720" t="str">
        <f>"110"</f>
        <v>110</v>
      </c>
      <c r="K3720" t="str">
        <f>"20201226"</f>
        <v>20201226</v>
      </c>
      <c r="L3720" t="s">
        <v>18</v>
      </c>
      <c r="M3720" t="str">
        <f>"20200708"</f>
        <v>20200708</v>
      </c>
    </row>
    <row r="3721" spans="1:13" x14ac:dyDescent="0.25">
      <c r="A3721" t="str">
        <f>"00933043"</f>
        <v>00933043</v>
      </c>
      <c r="B3721" t="s">
        <v>2830</v>
      </c>
      <c r="C3721" t="s">
        <v>2831</v>
      </c>
      <c r="D3721" t="s">
        <v>182</v>
      </c>
      <c r="E3721" t="s">
        <v>26</v>
      </c>
      <c r="F3721" t="s">
        <v>17</v>
      </c>
      <c r="G3721" t="str">
        <f>"10"</f>
        <v>10</v>
      </c>
      <c r="H3721" t="str">
        <f>"0  "</f>
        <v xml:space="preserve">0  </v>
      </c>
      <c r="I3721" t="str">
        <f>"2020/07/16"</f>
        <v>2020/07/16</v>
      </c>
      <c r="J3721" t="str">
        <f>"420"</f>
        <v>420</v>
      </c>
      <c r="K3721" t="s">
        <v>18</v>
      </c>
      <c r="L3721" t="s">
        <v>18</v>
      </c>
      <c r="M3721" t="s">
        <v>18</v>
      </c>
    </row>
    <row r="3722" spans="1:13" x14ac:dyDescent="0.25">
      <c r="A3722" t="str">
        <f>"00284356"</f>
        <v>00284356</v>
      </c>
      <c r="B3722" t="s">
        <v>2832</v>
      </c>
      <c r="C3722" t="s">
        <v>2833</v>
      </c>
      <c r="D3722" t="s">
        <v>40</v>
      </c>
      <c r="E3722" t="s">
        <v>16</v>
      </c>
      <c r="F3722" t="s">
        <v>17</v>
      </c>
      <c r="G3722" t="str">
        <f>"10"</f>
        <v>10</v>
      </c>
      <c r="H3722" t="str">
        <f>"3  "</f>
        <v xml:space="preserve">3  </v>
      </c>
      <c r="I3722" t="str">
        <f>"2019/08/15"</f>
        <v>2019/08/15</v>
      </c>
      <c r="J3722" t="str">
        <f>"503"</f>
        <v>503</v>
      </c>
      <c r="K3722" t="str">
        <f>"20220216"</f>
        <v>20220216</v>
      </c>
      <c r="L3722" t="s">
        <v>18</v>
      </c>
      <c r="M3722" t="str">
        <f>"20090224"</f>
        <v>20090224</v>
      </c>
    </row>
    <row r="3723" spans="1:13" x14ac:dyDescent="0.25">
      <c r="A3723" t="str">
        <f>"00565611"</f>
        <v>00565611</v>
      </c>
      <c r="B3723" t="s">
        <v>2836</v>
      </c>
      <c r="C3723" t="s">
        <v>2837</v>
      </c>
      <c r="D3723" t="s">
        <v>182</v>
      </c>
      <c r="E3723" t="s">
        <v>26</v>
      </c>
      <c r="F3723" t="s">
        <v>17</v>
      </c>
      <c r="G3723" t="str">
        <f>"10"</f>
        <v>10</v>
      </c>
      <c r="H3723" t="str">
        <f>"1  "</f>
        <v xml:space="preserve">1  </v>
      </c>
      <c r="I3723" t="str">
        <f>"2020/09/18"</f>
        <v>2020/09/18</v>
      </c>
      <c r="J3723" t="str">
        <f>"503"</f>
        <v>503</v>
      </c>
      <c r="K3723" t="str">
        <f>"20210211"</f>
        <v>20210211</v>
      </c>
      <c r="L3723" t="s">
        <v>18</v>
      </c>
      <c r="M3723" t="str">
        <f>"20200902"</f>
        <v>20200902</v>
      </c>
    </row>
    <row r="3724" spans="1:13" x14ac:dyDescent="0.25">
      <c r="A3724" t="str">
        <f>"00623347"</f>
        <v>00623347</v>
      </c>
      <c r="B3724" t="s">
        <v>2845</v>
      </c>
      <c r="C3724" t="s">
        <v>2846</v>
      </c>
      <c r="D3724" t="s">
        <v>182</v>
      </c>
      <c r="E3724" t="s">
        <v>16</v>
      </c>
      <c r="F3724" t="s">
        <v>17</v>
      </c>
      <c r="G3724" t="str">
        <f>"10"</f>
        <v>10</v>
      </c>
      <c r="H3724" t="str">
        <f>"3  "</f>
        <v xml:space="preserve">3  </v>
      </c>
      <c r="I3724" t="str">
        <f>"2018/11/26"</f>
        <v>2018/11/26</v>
      </c>
      <c r="J3724" t="str">
        <f>"110"</f>
        <v>110</v>
      </c>
      <c r="K3724" t="str">
        <f>"20230330"</f>
        <v>20230330</v>
      </c>
      <c r="L3724" t="s">
        <v>18</v>
      </c>
      <c r="M3724" t="str">
        <f>"20181126"</f>
        <v>20181126</v>
      </c>
    </row>
    <row r="3725" spans="1:13" x14ac:dyDescent="0.25">
      <c r="A3725" t="str">
        <f>"00526441"</f>
        <v>00526441</v>
      </c>
      <c r="B3725" t="s">
        <v>2851</v>
      </c>
      <c r="C3725" t="s">
        <v>1189</v>
      </c>
      <c r="D3725" t="s">
        <v>40</v>
      </c>
      <c r="E3725" t="s">
        <v>16</v>
      </c>
      <c r="F3725" t="s">
        <v>17</v>
      </c>
      <c r="G3725" t="str">
        <f>"10"</f>
        <v>10</v>
      </c>
      <c r="H3725" t="str">
        <f>"3  "</f>
        <v xml:space="preserve">3  </v>
      </c>
      <c r="I3725" t="str">
        <f>"2018/01/12"</f>
        <v>2018/01/12</v>
      </c>
      <c r="J3725" t="str">
        <f>"110"</f>
        <v>110</v>
      </c>
      <c r="K3725" t="str">
        <f>"20211102"</f>
        <v>20211102</v>
      </c>
      <c r="L3725" t="s">
        <v>18</v>
      </c>
      <c r="M3725" t="str">
        <f>"20170915"</f>
        <v>20170915</v>
      </c>
    </row>
    <row r="3726" spans="1:13" x14ac:dyDescent="0.25">
      <c r="A3726" t="str">
        <f>"00206352"</f>
        <v>00206352</v>
      </c>
      <c r="B3726" t="s">
        <v>2851</v>
      </c>
      <c r="C3726" t="s">
        <v>66</v>
      </c>
      <c r="D3726" t="s">
        <v>15</v>
      </c>
      <c r="E3726" t="s">
        <v>16</v>
      </c>
      <c r="F3726" t="s">
        <v>17</v>
      </c>
      <c r="G3726" t="str">
        <f>"10"</f>
        <v>10</v>
      </c>
      <c r="H3726" t="str">
        <f>"0  "</f>
        <v xml:space="preserve">0  </v>
      </c>
      <c r="I3726" t="str">
        <f>"2019/08/30"</f>
        <v>2019/08/30</v>
      </c>
      <c r="J3726" t="str">
        <f>"420"</f>
        <v>420</v>
      </c>
      <c r="K3726" t="s">
        <v>18</v>
      </c>
      <c r="L3726" t="s">
        <v>18</v>
      </c>
      <c r="M3726" t="s">
        <v>18</v>
      </c>
    </row>
    <row r="3727" spans="1:13" x14ac:dyDescent="0.25">
      <c r="A3727" t="str">
        <f>"00632855"</f>
        <v>00632855</v>
      </c>
      <c r="B3727" t="s">
        <v>2851</v>
      </c>
      <c r="C3727" t="s">
        <v>2853</v>
      </c>
      <c r="D3727" t="s">
        <v>25</v>
      </c>
      <c r="E3727" t="s">
        <v>16</v>
      </c>
      <c r="F3727" t="s">
        <v>17</v>
      </c>
      <c r="G3727" t="str">
        <f>"10"</f>
        <v>10</v>
      </c>
      <c r="H3727" t="str">
        <f>"3  "</f>
        <v xml:space="preserve">3  </v>
      </c>
      <c r="I3727" t="str">
        <f>"2020/09/16"</f>
        <v>2020/09/16</v>
      </c>
      <c r="J3727" t="str">
        <f>"502"</f>
        <v>502</v>
      </c>
      <c r="K3727" t="str">
        <f>"20271227"</f>
        <v>20271227</v>
      </c>
      <c r="L3727" t="s">
        <v>18</v>
      </c>
      <c r="M3727" t="str">
        <f>"20170522"</f>
        <v>20170522</v>
      </c>
    </row>
    <row r="3728" spans="1:13" x14ac:dyDescent="0.25">
      <c r="A3728" t="str">
        <f>"00359584"</f>
        <v>00359584</v>
      </c>
      <c r="B3728" t="s">
        <v>2857</v>
      </c>
      <c r="C3728" t="s">
        <v>22</v>
      </c>
      <c r="D3728" t="s">
        <v>15</v>
      </c>
      <c r="E3728" t="s">
        <v>16</v>
      </c>
      <c r="F3728" t="s">
        <v>17</v>
      </c>
      <c r="G3728" t="str">
        <f>"10"</f>
        <v>10</v>
      </c>
      <c r="H3728" t="str">
        <f>"0  "</f>
        <v xml:space="preserve">0  </v>
      </c>
      <c r="I3728" t="str">
        <f>"2020/09/21"</f>
        <v>2020/09/21</v>
      </c>
      <c r="J3728" t="str">
        <f>"420"</f>
        <v>420</v>
      </c>
      <c r="K3728" t="s">
        <v>18</v>
      </c>
      <c r="L3728" t="s">
        <v>18</v>
      </c>
      <c r="M3728" t="s">
        <v>18</v>
      </c>
    </row>
    <row r="3729" spans="1:13" x14ac:dyDescent="0.25">
      <c r="A3729" t="str">
        <f>"00472119"</f>
        <v>00472119</v>
      </c>
      <c r="B3729" t="s">
        <v>2860</v>
      </c>
      <c r="C3729" t="s">
        <v>2861</v>
      </c>
      <c r="D3729" t="s">
        <v>25</v>
      </c>
      <c r="E3729" t="s">
        <v>16</v>
      </c>
      <c r="F3729" t="s">
        <v>17</v>
      </c>
      <c r="G3729" t="str">
        <f>"10"</f>
        <v>10</v>
      </c>
      <c r="H3729" t="str">
        <f>"3  "</f>
        <v xml:space="preserve">3  </v>
      </c>
      <c r="I3729" t="str">
        <f>"2019/06/24"</f>
        <v>2019/06/24</v>
      </c>
      <c r="J3729" t="str">
        <f>"110"</f>
        <v>110</v>
      </c>
      <c r="K3729" t="str">
        <f>"20220818"</f>
        <v>20220818</v>
      </c>
      <c r="L3729" t="s">
        <v>18</v>
      </c>
      <c r="M3729" t="str">
        <f>"20190223"</f>
        <v>20190223</v>
      </c>
    </row>
    <row r="3730" spans="1:13" x14ac:dyDescent="0.25">
      <c r="A3730" t="str">
        <f>"00534253"</f>
        <v>00534253</v>
      </c>
      <c r="B3730" t="s">
        <v>2864</v>
      </c>
      <c r="C3730" t="s">
        <v>1828</v>
      </c>
      <c r="D3730" t="s">
        <v>97</v>
      </c>
      <c r="E3730" t="s">
        <v>26</v>
      </c>
      <c r="F3730" t="s">
        <v>17</v>
      </c>
      <c r="G3730" t="str">
        <f>"10"</f>
        <v>10</v>
      </c>
      <c r="H3730" t="str">
        <f>"3  "</f>
        <v xml:space="preserve">3  </v>
      </c>
      <c r="I3730" t="str">
        <f>"2019/07/24"</f>
        <v>2019/07/24</v>
      </c>
      <c r="J3730" t="str">
        <f>"110"</f>
        <v>110</v>
      </c>
      <c r="K3730" t="str">
        <f>"20210822"</f>
        <v>20210822</v>
      </c>
      <c r="L3730" t="s">
        <v>18</v>
      </c>
      <c r="M3730" t="str">
        <f>"20190217"</f>
        <v>20190217</v>
      </c>
    </row>
    <row r="3731" spans="1:13" x14ac:dyDescent="0.25">
      <c r="A3731" t="str">
        <f>"00897707"</f>
        <v>00897707</v>
      </c>
      <c r="B3731" t="s">
        <v>2864</v>
      </c>
      <c r="C3731" t="s">
        <v>59</v>
      </c>
      <c r="D3731" t="s">
        <v>21</v>
      </c>
      <c r="E3731" t="s">
        <v>26</v>
      </c>
      <c r="F3731" t="s">
        <v>17</v>
      </c>
      <c r="G3731" t="str">
        <f>"10"</f>
        <v>10</v>
      </c>
      <c r="H3731" t="str">
        <f>"3  "</f>
        <v xml:space="preserve">3  </v>
      </c>
      <c r="I3731" t="str">
        <f>"2019/07/21"</f>
        <v>2019/07/21</v>
      </c>
      <c r="J3731" t="str">
        <f>"110"</f>
        <v>110</v>
      </c>
      <c r="K3731" t="str">
        <f>"20220823"</f>
        <v>20220823</v>
      </c>
      <c r="L3731" t="s">
        <v>18</v>
      </c>
      <c r="M3731" t="str">
        <f>"20190110"</f>
        <v>20190110</v>
      </c>
    </row>
    <row r="3732" spans="1:13" x14ac:dyDescent="0.25">
      <c r="A3732" t="str">
        <f>"00255506"</f>
        <v>00255506</v>
      </c>
      <c r="B3732" t="s">
        <v>2864</v>
      </c>
      <c r="C3732" t="s">
        <v>169</v>
      </c>
      <c r="D3732" t="s">
        <v>37</v>
      </c>
      <c r="E3732" t="s">
        <v>26</v>
      </c>
      <c r="F3732" t="s">
        <v>17</v>
      </c>
      <c r="G3732" t="str">
        <f>"10"</f>
        <v>10</v>
      </c>
      <c r="H3732" t="str">
        <f>"3  "</f>
        <v xml:space="preserve">3  </v>
      </c>
      <c r="I3732" t="str">
        <f>"2015/03/12"</f>
        <v>2015/03/12</v>
      </c>
      <c r="J3732" t="str">
        <f>"110"</f>
        <v>110</v>
      </c>
      <c r="K3732" t="str">
        <f>"20230208"</f>
        <v>20230208</v>
      </c>
      <c r="L3732" t="s">
        <v>18</v>
      </c>
      <c r="M3732" t="str">
        <f>"20140913"</f>
        <v>20140913</v>
      </c>
    </row>
    <row r="3733" spans="1:13" x14ac:dyDescent="0.25">
      <c r="A3733" t="str">
        <f>"00877982"</f>
        <v>00877982</v>
      </c>
      <c r="B3733" t="s">
        <v>2871</v>
      </c>
      <c r="C3733" t="s">
        <v>802</v>
      </c>
      <c r="D3733" t="s">
        <v>51</v>
      </c>
      <c r="E3733" t="s">
        <v>26</v>
      </c>
      <c r="F3733" t="s">
        <v>17</v>
      </c>
      <c r="G3733" t="str">
        <f>"10"</f>
        <v>10</v>
      </c>
      <c r="H3733" t="str">
        <f>"0  "</f>
        <v xml:space="preserve">0  </v>
      </c>
      <c r="I3733" t="str">
        <f>"2020/09/15"</f>
        <v>2020/09/15</v>
      </c>
      <c r="J3733" t="str">
        <f>"420"</f>
        <v>420</v>
      </c>
      <c r="K3733" t="s">
        <v>18</v>
      </c>
      <c r="L3733" t="s">
        <v>18</v>
      </c>
      <c r="M3733" t="s">
        <v>18</v>
      </c>
    </row>
    <row r="3734" spans="1:13" x14ac:dyDescent="0.25">
      <c r="A3734" t="str">
        <f>"00900200"</f>
        <v>00900200</v>
      </c>
      <c r="B3734" t="s">
        <v>2872</v>
      </c>
      <c r="C3734" t="s">
        <v>59</v>
      </c>
      <c r="D3734" t="s">
        <v>16</v>
      </c>
      <c r="E3734" t="s">
        <v>16</v>
      </c>
      <c r="F3734" t="s">
        <v>17</v>
      </c>
      <c r="G3734" t="str">
        <f>"10"</f>
        <v>10</v>
      </c>
      <c r="H3734" t="str">
        <f>"0  "</f>
        <v xml:space="preserve">0  </v>
      </c>
      <c r="I3734" t="str">
        <f>"2020/06/15"</f>
        <v>2020/06/15</v>
      </c>
      <c r="J3734" t="str">
        <f>"420"</f>
        <v>420</v>
      </c>
      <c r="K3734" t="s">
        <v>18</v>
      </c>
      <c r="L3734" t="s">
        <v>18</v>
      </c>
      <c r="M3734" t="s">
        <v>18</v>
      </c>
    </row>
    <row r="3735" spans="1:13" x14ac:dyDescent="0.25">
      <c r="A3735" t="str">
        <f>"00783316"</f>
        <v>00783316</v>
      </c>
      <c r="B3735" t="s">
        <v>2874</v>
      </c>
      <c r="C3735" t="s">
        <v>55</v>
      </c>
      <c r="D3735" t="s">
        <v>25</v>
      </c>
      <c r="E3735" t="s">
        <v>26</v>
      </c>
      <c r="F3735" t="s">
        <v>17</v>
      </c>
      <c r="G3735" t="str">
        <f>"10"</f>
        <v>10</v>
      </c>
      <c r="H3735" t="str">
        <f>"3  "</f>
        <v xml:space="preserve">3  </v>
      </c>
      <c r="I3735" t="str">
        <f>"2020/02/07"</f>
        <v>2020/02/07</v>
      </c>
      <c r="J3735" t="str">
        <f>"110"</f>
        <v>110</v>
      </c>
      <c r="K3735" t="str">
        <f>"20230810"</f>
        <v>20230810</v>
      </c>
      <c r="L3735" t="s">
        <v>18</v>
      </c>
      <c r="M3735" t="str">
        <f>"20190207"</f>
        <v>20190207</v>
      </c>
    </row>
    <row r="3736" spans="1:13" x14ac:dyDescent="0.25">
      <c r="A3736" t="str">
        <f>"00763484"</f>
        <v>00763484</v>
      </c>
      <c r="B3736" t="s">
        <v>2874</v>
      </c>
      <c r="C3736" t="s">
        <v>442</v>
      </c>
      <c r="D3736" t="s">
        <v>25</v>
      </c>
      <c r="E3736" t="s">
        <v>26</v>
      </c>
      <c r="F3736" t="s">
        <v>17</v>
      </c>
      <c r="G3736" t="str">
        <f>"10"</f>
        <v>10</v>
      </c>
      <c r="H3736" t="str">
        <f>"0  "</f>
        <v xml:space="preserve">0  </v>
      </c>
      <c r="I3736" t="str">
        <f>"2020/08/13"</f>
        <v>2020/08/13</v>
      </c>
      <c r="J3736" t="str">
        <f>"420"</f>
        <v>420</v>
      </c>
      <c r="K3736" t="s">
        <v>18</v>
      </c>
      <c r="L3736" t="s">
        <v>18</v>
      </c>
      <c r="M3736" t="s">
        <v>18</v>
      </c>
    </row>
    <row r="3737" spans="1:13" x14ac:dyDescent="0.25">
      <c r="A3737" t="str">
        <f>"00410728"</f>
        <v>00410728</v>
      </c>
      <c r="B3737" t="s">
        <v>2876</v>
      </c>
      <c r="C3737" t="s">
        <v>135</v>
      </c>
      <c r="D3737" t="s">
        <v>51</v>
      </c>
      <c r="E3737" t="s">
        <v>16</v>
      </c>
      <c r="F3737" t="s">
        <v>17</v>
      </c>
      <c r="G3737" t="str">
        <f>"10"</f>
        <v>10</v>
      </c>
      <c r="H3737" t="str">
        <f>"0  "</f>
        <v xml:space="preserve">0  </v>
      </c>
      <c r="I3737" t="str">
        <f>"2020/09/15"</f>
        <v>2020/09/15</v>
      </c>
      <c r="J3737" t="str">
        <f>"420"</f>
        <v>420</v>
      </c>
      <c r="K3737" t="s">
        <v>18</v>
      </c>
      <c r="L3737" t="s">
        <v>18</v>
      </c>
      <c r="M3737" t="s">
        <v>18</v>
      </c>
    </row>
    <row r="3738" spans="1:13" x14ac:dyDescent="0.25">
      <c r="A3738" t="str">
        <f>"00654644"</f>
        <v>00654644</v>
      </c>
      <c r="B3738" t="s">
        <v>2882</v>
      </c>
      <c r="C3738" t="s">
        <v>2883</v>
      </c>
      <c r="D3738" t="s">
        <v>37</v>
      </c>
      <c r="E3738" t="s">
        <v>26</v>
      </c>
      <c r="F3738" t="s">
        <v>17</v>
      </c>
      <c r="G3738" t="str">
        <f>"10"</f>
        <v>10</v>
      </c>
      <c r="H3738" t="str">
        <f>"1  "</f>
        <v xml:space="preserve">1  </v>
      </c>
      <c r="I3738" t="str">
        <f>"2020/04/30"</f>
        <v>2020/04/30</v>
      </c>
      <c r="J3738" t="str">
        <f>"120"</f>
        <v>120</v>
      </c>
      <c r="K3738" t="str">
        <f>"20201003"</f>
        <v>20201003</v>
      </c>
      <c r="L3738" t="s">
        <v>18</v>
      </c>
      <c r="M3738" t="str">
        <f>"20200421"</f>
        <v>20200421</v>
      </c>
    </row>
    <row r="3739" spans="1:13" x14ac:dyDescent="0.25">
      <c r="A3739" t="str">
        <f>"00924951"</f>
        <v>00924951</v>
      </c>
      <c r="B3739" t="s">
        <v>2885</v>
      </c>
      <c r="C3739" t="s">
        <v>280</v>
      </c>
      <c r="D3739" t="s">
        <v>51</v>
      </c>
      <c r="E3739" t="s">
        <v>26</v>
      </c>
      <c r="F3739" t="s">
        <v>17</v>
      </c>
      <c r="G3739" t="str">
        <f>"10"</f>
        <v>10</v>
      </c>
      <c r="H3739" t="str">
        <f>"3  "</f>
        <v xml:space="preserve">3  </v>
      </c>
      <c r="I3739" t="str">
        <f>"2020/01/30"</f>
        <v>2020/01/30</v>
      </c>
      <c r="J3739" t="str">
        <f>"502"</f>
        <v>502</v>
      </c>
      <c r="K3739" t="str">
        <f>"20230311"</f>
        <v>20230311</v>
      </c>
      <c r="L3739" t="s">
        <v>18</v>
      </c>
      <c r="M3739" t="str">
        <f>"20190910"</f>
        <v>20190910</v>
      </c>
    </row>
    <row r="3740" spans="1:13" x14ac:dyDescent="0.25">
      <c r="A3740" t="str">
        <f>"00602926"</f>
        <v>00602926</v>
      </c>
      <c r="B3740" t="s">
        <v>2885</v>
      </c>
      <c r="C3740" t="s">
        <v>2886</v>
      </c>
      <c r="D3740" t="s">
        <v>25</v>
      </c>
      <c r="E3740" t="s">
        <v>26</v>
      </c>
      <c r="F3740" t="s">
        <v>17</v>
      </c>
      <c r="G3740" t="str">
        <f>"10"</f>
        <v>10</v>
      </c>
      <c r="H3740" t="str">
        <f>"3  "</f>
        <v xml:space="preserve">3  </v>
      </c>
      <c r="I3740" t="str">
        <f>"2016/12/10"</f>
        <v>2016/12/10</v>
      </c>
      <c r="J3740" t="str">
        <f>"110"</f>
        <v>110</v>
      </c>
      <c r="K3740" t="str">
        <f>"20240915"</f>
        <v>20240915</v>
      </c>
      <c r="L3740" t="s">
        <v>18</v>
      </c>
      <c r="M3740" t="str">
        <f>"20160204"</f>
        <v>20160204</v>
      </c>
    </row>
    <row r="3741" spans="1:13" x14ac:dyDescent="0.25">
      <c r="A3741" t="str">
        <f>"00720335"</f>
        <v>00720335</v>
      </c>
      <c r="B3741" t="s">
        <v>2885</v>
      </c>
      <c r="C3741" t="s">
        <v>1240</v>
      </c>
      <c r="D3741" t="s">
        <v>80</v>
      </c>
      <c r="E3741" t="s">
        <v>16</v>
      </c>
      <c r="F3741" t="s">
        <v>17</v>
      </c>
      <c r="G3741" t="str">
        <f>"10"</f>
        <v>10</v>
      </c>
      <c r="H3741" t="str">
        <f>"0  "</f>
        <v xml:space="preserve">0  </v>
      </c>
      <c r="I3741" t="str">
        <f>"2020/07/02"</f>
        <v>2020/07/02</v>
      </c>
      <c r="J3741" t="str">
        <f>"420"</f>
        <v>420</v>
      </c>
      <c r="K3741" t="s">
        <v>18</v>
      </c>
      <c r="L3741" t="s">
        <v>18</v>
      </c>
      <c r="M3741" t="s">
        <v>18</v>
      </c>
    </row>
    <row r="3742" spans="1:13" x14ac:dyDescent="0.25">
      <c r="A3742" t="str">
        <f>"00868082"</f>
        <v>00868082</v>
      </c>
      <c r="B3742" t="s">
        <v>2885</v>
      </c>
      <c r="C3742" t="s">
        <v>2888</v>
      </c>
      <c r="D3742" t="s">
        <v>25</v>
      </c>
      <c r="E3742" t="s">
        <v>26</v>
      </c>
      <c r="F3742" t="s">
        <v>17</v>
      </c>
      <c r="G3742" t="str">
        <f>"10"</f>
        <v>10</v>
      </c>
      <c r="H3742" t="str">
        <f>"1  "</f>
        <v xml:space="preserve">1  </v>
      </c>
      <c r="I3742" t="str">
        <f>"2020/08/28"</f>
        <v>2020/08/28</v>
      </c>
      <c r="J3742" t="str">
        <f>"110"</f>
        <v>110</v>
      </c>
      <c r="K3742" t="str">
        <f>"20210803"</f>
        <v>20210803</v>
      </c>
      <c r="L3742" t="s">
        <v>18</v>
      </c>
      <c r="M3742" t="str">
        <f>"20200828"</f>
        <v>20200828</v>
      </c>
    </row>
    <row r="3743" spans="1:13" x14ac:dyDescent="0.25">
      <c r="A3743" t="str">
        <f>"00783036"</f>
        <v>00783036</v>
      </c>
      <c r="B3743" t="s">
        <v>2889</v>
      </c>
      <c r="C3743" t="s">
        <v>2891</v>
      </c>
      <c r="D3743" t="s">
        <v>25</v>
      </c>
      <c r="E3743" t="s">
        <v>26</v>
      </c>
      <c r="F3743" t="s">
        <v>17</v>
      </c>
      <c r="G3743" t="str">
        <f>"10"</f>
        <v>10</v>
      </c>
      <c r="H3743" t="str">
        <f>"3  "</f>
        <v xml:space="preserve">3  </v>
      </c>
      <c r="I3743" t="str">
        <f>"2020/06/05"</f>
        <v>2020/06/05</v>
      </c>
      <c r="J3743" t="str">
        <f>"110"</f>
        <v>110</v>
      </c>
      <c r="K3743" t="str">
        <f>"20300525"</f>
        <v>20300525</v>
      </c>
      <c r="L3743" t="s">
        <v>18</v>
      </c>
      <c r="M3743" t="str">
        <f>"20190721"</f>
        <v>20190721</v>
      </c>
    </row>
    <row r="3744" spans="1:13" x14ac:dyDescent="0.25">
      <c r="A3744" t="str">
        <f>"00810197"</f>
        <v>00810197</v>
      </c>
      <c r="B3744" t="s">
        <v>2889</v>
      </c>
      <c r="C3744" t="s">
        <v>2892</v>
      </c>
      <c r="D3744" t="s">
        <v>21</v>
      </c>
      <c r="E3744" t="s">
        <v>26</v>
      </c>
      <c r="F3744" t="s">
        <v>17</v>
      </c>
      <c r="G3744" t="str">
        <f>"10"</f>
        <v>10</v>
      </c>
      <c r="H3744" t="str">
        <f>"0  "</f>
        <v xml:space="preserve">0  </v>
      </c>
      <c r="I3744" t="str">
        <f>"2020/08/09"</f>
        <v>2020/08/09</v>
      </c>
      <c r="J3744" t="str">
        <f>"420"</f>
        <v>420</v>
      </c>
      <c r="K3744" t="s">
        <v>18</v>
      </c>
      <c r="L3744" t="s">
        <v>18</v>
      </c>
      <c r="M3744" t="s">
        <v>18</v>
      </c>
    </row>
    <row r="3745" spans="1:13" x14ac:dyDescent="0.25">
      <c r="A3745" t="str">
        <f>"00931652"</f>
        <v>00931652</v>
      </c>
      <c r="B3745" t="s">
        <v>2889</v>
      </c>
      <c r="C3745" t="s">
        <v>55</v>
      </c>
      <c r="D3745" t="s">
        <v>61</v>
      </c>
      <c r="E3745" t="s">
        <v>16</v>
      </c>
      <c r="F3745" t="s">
        <v>17</v>
      </c>
      <c r="G3745" t="str">
        <f>"10"</f>
        <v>10</v>
      </c>
      <c r="H3745" t="str">
        <f>"0  "</f>
        <v xml:space="preserve">0  </v>
      </c>
      <c r="I3745" t="str">
        <f>"2020/06/18"</f>
        <v>2020/06/18</v>
      </c>
      <c r="J3745" t="str">
        <f>"420"</f>
        <v>420</v>
      </c>
      <c r="K3745" t="s">
        <v>18</v>
      </c>
      <c r="L3745" t="s">
        <v>18</v>
      </c>
      <c r="M3745" t="s">
        <v>18</v>
      </c>
    </row>
    <row r="3746" spans="1:13" x14ac:dyDescent="0.25">
      <c r="A3746" t="str">
        <f>"00632637"</f>
        <v>00632637</v>
      </c>
      <c r="B3746" t="s">
        <v>2925</v>
      </c>
      <c r="C3746" t="s">
        <v>66</v>
      </c>
      <c r="D3746" t="s">
        <v>182</v>
      </c>
      <c r="E3746" t="s">
        <v>16</v>
      </c>
      <c r="F3746" t="s">
        <v>17</v>
      </c>
      <c r="G3746" t="str">
        <f>"10"</f>
        <v>10</v>
      </c>
      <c r="H3746" t="str">
        <f>"0  "</f>
        <v xml:space="preserve">0  </v>
      </c>
      <c r="I3746" t="str">
        <f>"2020/07/03"</f>
        <v>2020/07/03</v>
      </c>
      <c r="J3746" t="str">
        <f>"420"</f>
        <v>420</v>
      </c>
      <c r="K3746" t="s">
        <v>18</v>
      </c>
      <c r="L3746" t="s">
        <v>18</v>
      </c>
      <c r="M3746" t="s">
        <v>18</v>
      </c>
    </row>
    <row r="3747" spans="1:13" x14ac:dyDescent="0.25">
      <c r="A3747" t="str">
        <f>"00930584"</f>
        <v>00930584</v>
      </c>
      <c r="B3747" t="s">
        <v>2933</v>
      </c>
      <c r="C3747" t="s">
        <v>74</v>
      </c>
      <c r="D3747" t="s">
        <v>37</v>
      </c>
      <c r="E3747" t="s">
        <v>16</v>
      </c>
      <c r="F3747" t="s">
        <v>17</v>
      </c>
      <c r="G3747" t="str">
        <f>"10"</f>
        <v>10</v>
      </c>
      <c r="H3747" t="str">
        <f>"0  "</f>
        <v xml:space="preserve">0  </v>
      </c>
      <c r="I3747" t="str">
        <f>"2020/05/26"</f>
        <v>2020/05/26</v>
      </c>
      <c r="J3747" t="str">
        <f>"420"</f>
        <v>420</v>
      </c>
      <c r="K3747" t="s">
        <v>18</v>
      </c>
      <c r="L3747" t="s">
        <v>18</v>
      </c>
      <c r="M3747" t="s">
        <v>18</v>
      </c>
    </row>
    <row r="3748" spans="1:13" x14ac:dyDescent="0.25">
      <c r="A3748" t="str">
        <f>"00584056"</f>
        <v>00584056</v>
      </c>
      <c r="B3748" t="s">
        <v>2934</v>
      </c>
      <c r="C3748" t="s">
        <v>14</v>
      </c>
      <c r="D3748" t="s">
        <v>37</v>
      </c>
      <c r="E3748" t="s">
        <v>26</v>
      </c>
      <c r="F3748" t="s">
        <v>17</v>
      </c>
      <c r="G3748" t="str">
        <f>"10"</f>
        <v>10</v>
      </c>
      <c r="H3748" t="str">
        <f>"0  "</f>
        <v xml:space="preserve">0  </v>
      </c>
      <c r="I3748" t="str">
        <f>"2020/09/22"</f>
        <v>2020/09/22</v>
      </c>
      <c r="J3748" t="str">
        <f>"420"</f>
        <v>420</v>
      </c>
      <c r="K3748" t="s">
        <v>18</v>
      </c>
      <c r="L3748" t="s">
        <v>18</v>
      </c>
      <c r="M3748" t="s">
        <v>18</v>
      </c>
    </row>
    <row r="3749" spans="1:13" x14ac:dyDescent="0.25">
      <c r="A3749" t="str">
        <f>"00757569"</f>
        <v>00757569</v>
      </c>
      <c r="B3749" t="s">
        <v>2934</v>
      </c>
      <c r="C3749" t="s">
        <v>2935</v>
      </c>
      <c r="D3749" t="s">
        <v>25</v>
      </c>
      <c r="E3749" t="s">
        <v>26</v>
      </c>
      <c r="F3749" t="s">
        <v>17</v>
      </c>
      <c r="G3749" t="str">
        <f>"10"</f>
        <v>10</v>
      </c>
      <c r="H3749" t="str">
        <f>"0  "</f>
        <v xml:space="preserve">0  </v>
      </c>
      <c r="I3749" t="str">
        <f>"2020/09/11"</f>
        <v>2020/09/11</v>
      </c>
      <c r="J3749" t="str">
        <f>"420"</f>
        <v>420</v>
      </c>
      <c r="K3749" t="s">
        <v>18</v>
      </c>
      <c r="L3749" t="s">
        <v>18</v>
      </c>
      <c r="M3749" t="s">
        <v>18</v>
      </c>
    </row>
    <row r="3750" spans="1:13" x14ac:dyDescent="0.25">
      <c r="A3750" t="str">
        <f>"00909796"</f>
        <v>00909796</v>
      </c>
      <c r="B3750" t="s">
        <v>2934</v>
      </c>
      <c r="C3750" t="s">
        <v>2937</v>
      </c>
      <c r="D3750" t="s">
        <v>25</v>
      </c>
      <c r="E3750" t="s">
        <v>26</v>
      </c>
      <c r="F3750" t="s">
        <v>17</v>
      </c>
      <c r="G3750" t="str">
        <f>"10"</f>
        <v>10</v>
      </c>
      <c r="H3750" t="str">
        <f>"0  "</f>
        <v xml:space="preserve">0  </v>
      </c>
      <c r="I3750" t="str">
        <f>"2020/01/12"</f>
        <v>2020/01/12</v>
      </c>
      <c r="J3750" t="str">
        <f>"420"</f>
        <v>420</v>
      </c>
      <c r="K3750" t="s">
        <v>18</v>
      </c>
      <c r="L3750" t="s">
        <v>18</v>
      </c>
      <c r="M3750" t="s">
        <v>18</v>
      </c>
    </row>
    <row r="3751" spans="1:13" x14ac:dyDescent="0.25">
      <c r="A3751" t="str">
        <f>"00394341"</f>
        <v>00394341</v>
      </c>
      <c r="B3751" t="s">
        <v>2941</v>
      </c>
      <c r="C3751" t="s">
        <v>1207</v>
      </c>
      <c r="D3751" t="s">
        <v>37</v>
      </c>
      <c r="E3751" t="s">
        <v>26</v>
      </c>
      <c r="F3751" t="s">
        <v>17</v>
      </c>
      <c r="G3751" t="str">
        <f>"10"</f>
        <v>10</v>
      </c>
      <c r="H3751" t="str">
        <f>"3  "</f>
        <v xml:space="preserve">3  </v>
      </c>
      <c r="I3751" t="str">
        <f>"2017/05/30"</f>
        <v>2017/05/30</v>
      </c>
      <c r="J3751" t="str">
        <f>"110"</f>
        <v>110</v>
      </c>
      <c r="K3751" t="str">
        <f>"20211126"</f>
        <v>20211126</v>
      </c>
      <c r="L3751" t="s">
        <v>18</v>
      </c>
      <c r="M3751" t="str">
        <f>"20161021"</f>
        <v>20161021</v>
      </c>
    </row>
    <row r="3752" spans="1:13" x14ac:dyDescent="0.25">
      <c r="A3752" t="str">
        <f>"00605220"</f>
        <v>00605220</v>
      </c>
      <c r="B3752" t="s">
        <v>2942</v>
      </c>
      <c r="C3752" t="s">
        <v>875</v>
      </c>
      <c r="D3752" t="s">
        <v>40</v>
      </c>
      <c r="E3752" t="s">
        <v>26</v>
      </c>
      <c r="F3752" t="s">
        <v>17</v>
      </c>
      <c r="G3752" t="str">
        <f>"10"</f>
        <v>10</v>
      </c>
      <c r="H3752" t="str">
        <f>"1  "</f>
        <v xml:space="preserve">1  </v>
      </c>
      <c r="I3752" t="str">
        <f>"2020/04/03"</f>
        <v>2020/04/03</v>
      </c>
      <c r="J3752" t="str">
        <f>"120"</f>
        <v>120</v>
      </c>
      <c r="K3752" t="str">
        <f>"20201231"</f>
        <v>20201231</v>
      </c>
      <c r="L3752" t="s">
        <v>18</v>
      </c>
      <c r="M3752" t="str">
        <f>"20200125"</f>
        <v>20200125</v>
      </c>
    </row>
    <row r="3753" spans="1:13" x14ac:dyDescent="0.25">
      <c r="A3753" t="str">
        <f>"00547662"</f>
        <v>00547662</v>
      </c>
      <c r="B3753" t="s">
        <v>2942</v>
      </c>
      <c r="C3753" t="s">
        <v>1955</v>
      </c>
      <c r="D3753" t="s">
        <v>25</v>
      </c>
      <c r="E3753" t="s">
        <v>16</v>
      </c>
      <c r="F3753" t="s">
        <v>17</v>
      </c>
      <c r="G3753" t="str">
        <f>"10"</f>
        <v>10</v>
      </c>
      <c r="H3753" t="str">
        <f>"3  "</f>
        <v xml:space="preserve">3  </v>
      </c>
      <c r="I3753" t="str">
        <f>"2019/07/02"</f>
        <v>2019/07/02</v>
      </c>
      <c r="J3753" t="str">
        <f>"504"</f>
        <v>504</v>
      </c>
      <c r="K3753" t="str">
        <f>"20210514"</f>
        <v>20210514</v>
      </c>
      <c r="L3753" t="s">
        <v>18</v>
      </c>
      <c r="M3753" t="str">
        <f>"20180402"</f>
        <v>20180402</v>
      </c>
    </row>
    <row r="3754" spans="1:13" x14ac:dyDescent="0.25">
      <c r="A3754" t="str">
        <f>"00715151"</f>
        <v>00715151</v>
      </c>
      <c r="B3754" t="s">
        <v>2942</v>
      </c>
      <c r="C3754" t="s">
        <v>2945</v>
      </c>
      <c r="D3754" t="s">
        <v>25</v>
      </c>
      <c r="E3754" t="s">
        <v>26</v>
      </c>
      <c r="F3754" t="s">
        <v>17</v>
      </c>
      <c r="G3754" t="str">
        <f>"10"</f>
        <v>10</v>
      </c>
      <c r="H3754" t="str">
        <f>"3  "</f>
        <v xml:space="preserve">3  </v>
      </c>
      <c r="I3754" t="str">
        <f>"2017/12/06"</f>
        <v>2017/12/06</v>
      </c>
      <c r="J3754" t="str">
        <f>"110"</f>
        <v>110</v>
      </c>
      <c r="K3754" t="str">
        <f>"20231028"</f>
        <v>20231028</v>
      </c>
      <c r="L3754" t="s">
        <v>18</v>
      </c>
      <c r="M3754" t="str">
        <f>"20161112"</f>
        <v>20161112</v>
      </c>
    </row>
    <row r="3755" spans="1:13" x14ac:dyDescent="0.25">
      <c r="A3755" t="str">
        <f>"00303274"</f>
        <v>00303274</v>
      </c>
      <c r="B3755" t="s">
        <v>2946</v>
      </c>
      <c r="C3755" t="s">
        <v>651</v>
      </c>
      <c r="D3755" t="s">
        <v>51</v>
      </c>
      <c r="E3755" t="s">
        <v>26</v>
      </c>
      <c r="F3755" t="s">
        <v>17</v>
      </c>
      <c r="G3755" t="str">
        <f>"10"</f>
        <v>10</v>
      </c>
      <c r="H3755" t="str">
        <f>"3  "</f>
        <v xml:space="preserve">3  </v>
      </c>
      <c r="I3755" t="str">
        <f>"2017/12/21"</f>
        <v>2017/12/21</v>
      </c>
      <c r="J3755" t="str">
        <f>"110"</f>
        <v>110</v>
      </c>
      <c r="K3755" t="str">
        <f>"20201028"</f>
        <v>20201028</v>
      </c>
      <c r="L3755" t="s">
        <v>18</v>
      </c>
      <c r="M3755" t="str">
        <f>"20170406"</f>
        <v>20170406</v>
      </c>
    </row>
    <row r="3756" spans="1:13" x14ac:dyDescent="0.25">
      <c r="A3756" t="str">
        <f>"00500443"</f>
        <v>00500443</v>
      </c>
      <c r="B3756" t="s">
        <v>2949</v>
      </c>
      <c r="C3756" t="s">
        <v>2951</v>
      </c>
      <c r="D3756" t="s">
        <v>21</v>
      </c>
      <c r="E3756" t="s">
        <v>26</v>
      </c>
      <c r="F3756" t="s">
        <v>17</v>
      </c>
      <c r="G3756" t="str">
        <f>"10"</f>
        <v>10</v>
      </c>
      <c r="H3756" t="str">
        <f>"3  "</f>
        <v xml:space="preserve">3  </v>
      </c>
      <c r="I3756" t="str">
        <f>"2019/03/03"</f>
        <v>2019/03/03</v>
      </c>
      <c r="J3756" t="str">
        <f>"110"</f>
        <v>110</v>
      </c>
      <c r="K3756" t="str">
        <f>"20201017"</f>
        <v>20201017</v>
      </c>
      <c r="L3756" t="s">
        <v>18</v>
      </c>
      <c r="M3756" t="str">
        <f>"20180208"</f>
        <v>20180208</v>
      </c>
    </row>
    <row r="3757" spans="1:13" x14ac:dyDescent="0.25">
      <c r="A3757" t="str">
        <f>"00861813"</f>
        <v>00861813</v>
      </c>
      <c r="B3757" t="s">
        <v>2958</v>
      </c>
      <c r="C3757" t="s">
        <v>140</v>
      </c>
      <c r="D3757" t="s">
        <v>25</v>
      </c>
      <c r="E3757" t="s">
        <v>16</v>
      </c>
      <c r="F3757" t="s">
        <v>17</v>
      </c>
      <c r="G3757" t="str">
        <f>"10"</f>
        <v>10</v>
      </c>
      <c r="H3757" t="str">
        <f>"3  "</f>
        <v xml:space="preserve">3  </v>
      </c>
      <c r="I3757" t="str">
        <f>"2020/03/06"</f>
        <v>2020/03/06</v>
      </c>
      <c r="J3757" t="str">
        <f>"502"</f>
        <v>502</v>
      </c>
      <c r="K3757" t="str">
        <f>"20400602"</f>
        <v>20400602</v>
      </c>
      <c r="L3757" t="s">
        <v>18</v>
      </c>
      <c r="M3757" t="str">
        <f>"20180201"</f>
        <v>20180201</v>
      </c>
    </row>
    <row r="3758" spans="1:13" x14ac:dyDescent="0.25">
      <c r="A3758" t="str">
        <f>"00470992"</f>
        <v>00470992</v>
      </c>
      <c r="B3758" t="s">
        <v>2959</v>
      </c>
      <c r="C3758" t="s">
        <v>1314</v>
      </c>
      <c r="D3758" t="s">
        <v>16</v>
      </c>
      <c r="E3758" t="s">
        <v>26</v>
      </c>
      <c r="F3758" t="s">
        <v>17</v>
      </c>
      <c r="G3758" t="str">
        <f>"10"</f>
        <v>10</v>
      </c>
      <c r="H3758" t="str">
        <f>"3  "</f>
        <v xml:space="preserve">3  </v>
      </c>
      <c r="I3758" t="str">
        <f>"2020/02/14"</f>
        <v>2020/02/14</v>
      </c>
      <c r="J3758" t="str">
        <f>"110"</f>
        <v>110</v>
      </c>
      <c r="K3758" t="str">
        <f>"20210627"</f>
        <v>20210627</v>
      </c>
      <c r="L3758" t="s">
        <v>18</v>
      </c>
      <c r="M3758" t="str">
        <f>"20200214"</f>
        <v>20200214</v>
      </c>
    </row>
    <row r="3759" spans="1:13" x14ac:dyDescent="0.25">
      <c r="A3759" t="str">
        <f>"00191578"</f>
        <v>00191578</v>
      </c>
      <c r="B3759" t="s">
        <v>2968</v>
      </c>
      <c r="C3759" t="s">
        <v>74</v>
      </c>
      <c r="D3759" t="s">
        <v>61</v>
      </c>
      <c r="E3759" t="s">
        <v>16</v>
      </c>
      <c r="F3759" t="s">
        <v>17</v>
      </c>
      <c r="G3759" t="str">
        <f>"10"</f>
        <v>10</v>
      </c>
      <c r="H3759" t="str">
        <f>"0  "</f>
        <v xml:space="preserve">0  </v>
      </c>
      <c r="I3759" t="str">
        <f>"2020/08/25"</f>
        <v>2020/08/25</v>
      </c>
      <c r="J3759" t="str">
        <f>"420"</f>
        <v>420</v>
      </c>
      <c r="K3759" t="s">
        <v>18</v>
      </c>
      <c r="L3759" t="s">
        <v>18</v>
      </c>
      <c r="M3759" t="s">
        <v>18</v>
      </c>
    </row>
    <row r="3760" spans="1:13" x14ac:dyDescent="0.25">
      <c r="A3760" t="str">
        <f>"00831737"</f>
        <v>00831737</v>
      </c>
      <c r="B3760" t="s">
        <v>2969</v>
      </c>
      <c r="C3760" t="s">
        <v>96</v>
      </c>
      <c r="D3760" t="s">
        <v>45</v>
      </c>
      <c r="E3760" t="s">
        <v>26</v>
      </c>
      <c r="F3760" t="s">
        <v>17</v>
      </c>
      <c r="G3760" t="str">
        <f>"10"</f>
        <v>10</v>
      </c>
      <c r="H3760" t="str">
        <f>"3  "</f>
        <v xml:space="preserve">3  </v>
      </c>
      <c r="I3760" t="str">
        <f>"2019/11/18"</f>
        <v>2019/11/18</v>
      </c>
      <c r="J3760" t="str">
        <f>"110"</f>
        <v>110</v>
      </c>
      <c r="K3760" t="str">
        <f>"20201230"</f>
        <v>20201230</v>
      </c>
      <c r="L3760" t="s">
        <v>18</v>
      </c>
      <c r="M3760" t="str">
        <f>"20190403"</f>
        <v>20190403</v>
      </c>
    </row>
    <row r="3761" spans="1:13" x14ac:dyDescent="0.25">
      <c r="A3761" t="str">
        <f>"00602179"</f>
        <v>00602179</v>
      </c>
      <c r="B3761" t="s">
        <v>2971</v>
      </c>
      <c r="C3761" t="s">
        <v>811</v>
      </c>
      <c r="D3761" t="s">
        <v>73</v>
      </c>
      <c r="E3761" t="s">
        <v>26</v>
      </c>
      <c r="F3761" t="s">
        <v>17</v>
      </c>
      <c r="G3761" t="str">
        <f>"10"</f>
        <v>10</v>
      </c>
      <c r="H3761" t="str">
        <f>"0  "</f>
        <v xml:space="preserve">0  </v>
      </c>
      <c r="I3761" t="str">
        <f>"2020/01/04"</f>
        <v>2020/01/04</v>
      </c>
      <c r="J3761" t="str">
        <f>"420"</f>
        <v>420</v>
      </c>
      <c r="K3761" t="s">
        <v>18</v>
      </c>
      <c r="L3761" t="s">
        <v>18</v>
      </c>
      <c r="M3761" t="s">
        <v>18</v>
      </c>
    </row>
    <row r="3762" spans="1:13" x14ac:dyDescent="0.25">
      <c r="A3762" t="str">
        <f>"00608018"</f>
        <v>00608018</v>
      </c>
      <c r="B3762" t="s">
        <v>2976</v>
      </c>
      <c r="C3762" t="s">
        <v>259</v>
      </c>
      <c r="D3762" t="s">
        <v>51</v>
      </c>
      <c r="E3762" t="s">
        <v>26</v>
      </c>
      <c r="F3762" t="s">
        <v>17</v>
      </c>
      <c r="G3762" t="str">
        <f>"10"</f>
        <v>10</v>
      </c>
      <c r="H3762" t="str">
        <f>"3  "</f>
        <v xml:space="preserve">3  </v>
      </c>
      <c r="I3762" t="str">
        <f>"2019/10/30"</f>
        <v>2019/10/30</v>
      </c>
      <c r="J3762" t="str">
        <f>"110"</f>
        <v>110</v>
      </c>
      <c r="K3762" t="str">
        <f>"20210523"</f>
        <v>20210523</v>
      </c>
      <c r="L3762" t="s">
        <v>18</v>
      </c>
      <c r="M3762" t="str">
        <f>"20191012"</f>
        <v>20191012</v>
      </c>
    </row>
    <row r="3763" spans="1:13" x14ac:dyDescent="0.25">
      <c r="A3763" t="str">
        <f>"00777390"</f>
        <v>00777390</v>
      </c>
      <c r="B3763" t="s">
        <v>2989</v>
      </c>
      <c r="C3763" t="s">
        <v>2990</v>
      </c>
      <c r="D3763" t="s">
        <v>215</v>
      </c>
      <c r="E3763" t="s">
        <v>26</v>
      </c>
      <c r="F3763" t="s">
        <v>17</v>
      </c>
      <c r="G3763" t="str">
        <f>"10"</f>
        <v>10</v>
      </c>
      <c r="H3763" t="str">
        <f>"3  "</f>
        <v xml:space="preserve">3  </v>
      </c>
      <c r="I3763" t="str">
        <f>"2020/06/26"</f>
        <v>2020/06/26</v>
      </c>
      <c r="J3763" t="str">
        <f>"110"</f>
        <v>110</v>
      </c>
      <c r="K3763" t="str">
        <f>"20230214"</f>
        <v>20230214</v>
      </c>
      <c r="L3763" t="s">
        <v>18</v>
      </c>
      <c r="M3763" t="str">
        <f>"20200522"</f>
        <v>20200522</v>
      </c>
    </row>
    <row r="3764" spans="1:13" x14ac:dyDescent="0.25">
      <c r="A3764" t="str">
        <f>"00924919"</f>
        <v>00924919</v>
      </c>
      <c r="B3764" t="s">
        <v>2991</v>
      </c>
      <c r="C3764" t="s">
        <v>36</v>
      </c>
      <c r="D3764" t="s">
        <v>37</v>
      </c>
      <c r="E3764" t="s">
        <v>26</v>
      </c>
      <c r="F3764" t="s">
        <v>17</v>
      </c>
      <c r="G3764" t="str">
        <f>"10"</f>
        <v>10</v>
      </c>
      <c r="H3764" t="str">
        <f>"0  "</f>
        <v xml:space="preserve">0  </v>
      </c>
      <c r="I3764" t="str">
        <f>"2020/09/07"</f>
        <v>2020/09/07</v>
      </c>
      <c r="J3764" t="str">
        <f>"420"</f>
        <v>420</v>
      </c>
      <c r="K3764" t="s">
        <v>18</v>
      </c>
      <c r="L3764" t="s">
        <v>18</v>
      </c>
      <c r="M3764" t="s">
        <v>18</v>
      </c>
    </row>
    <row r="3765" spans="1:13" x14ac:dyDescent="0.25">
      <c r="A3765" t="str">
        <f>"00677638"</f>
        <v>00677638</v>
      </c>
      <c r="B3765" t="s">
        <v>2995</v>
      </c>
      <c r="C3765" t="s">
        <v>2996</v>
      </c>
      <c r="D3765" t="s">
        <v>40</v>
      </c>
      <c r="E3765" t="s">
        <v>26</v>
      </c>
      <c r="F3765" t="s">
        <v>17</v>
      </c>
      <c r="G3765" t="str">
        <f>"10"</f>
        <v>10</v>
      </c>
      <c r="H3765" t="str">
        <f>"0  "</f>
        <v xml:space="preserve">0  </v>
      </c>
      <c r="I3765" t="str">
        <f>"2019/10/25"</f>
        <v>2019/10/25</v>
      </c>
      <c r="J3765" t="str">
        <f>"420"</f>
        <v>420</v>
      </c>
      <c r="K3765" t="s">
        <v>18</v>
      </c>
      <c r="L3765" t="s">
        <v>18</v>
      </c>
      <c r="M3765" t="s">
        <v>18</v>
      </c>
    </row>
    <row r="3766" spans="1:13" x14ac:dyDescent="0.25">
      <c r="A3766" t="str">
        <f>"00245229"</f>
        <v>00245229</v>
      </c>
      <c r="B3766" t="s">
        <v>2998</v>
      </c>
      <c r="C3766" t="s">
        <v>1998</v>
      </c>
      <c r="D3766" t="s">
        <v>61</v>
      </c>
      <c r="E3766" t="s">
        <v>26</v>
      </c>
      <c r="F3766" t="s">
        <v>17</v>
      </c>
      <c r="G3766" t="str">
        <f>"10"</f>
        <v>10</v>
      </c>
      <c r="H3766" t="str">
        <f>"0  "</f>
        <v xml:space="preserve">0  </v>
      </c>
      <c r="I3766" t="str">
        <f>"2020/07/19"</f>
        <v>2020/07/19</v>
      </c>
      <c r="J3766" t="str">
        <f>"420"</f>
        <v>420</v>
      </c>
      <c r="K3766" t="s">
        <v>18</v>
      </c>
      <c r="L3766" t="s">
        <v>18</v>
      </c>
      <c r="M3766" t="s">
        <v>18</v>
      </c>
    </row>
    <row r="3767" spans="1:13" x14ac:dyDescent="0.25">
      <c r="A3767" t="str">
        <f>"00274286"</f>
        <v>00274286</v>
      </c>
      <c r="B3767" t="s">
        <v>2998</v>
      </c>
      <c r="C3767" t="s">
        <v>248</v>
      </c>
      <c r="D3767" t="s">
        <v>51</v>
      </c>
      <c r="E3767" t="s">
        <v>26</v>
      </c>
      <c r="F3767" t="s">
        <v>17</v>
      </c>
      <c r="G3767" t="str">
        <f>"10"</f>
        <v>10</v>
      </c>
      <c r="H3767" t="str">
        <f>"0  "</f>
        <v xml:space="preserve">0  </v>
      </c>
      <c r="I3767" t="str">
        <f>"2020/01/03"</f>
        <v>2020/01/03</v>
      </c>
      <c r="J3767" t="str">
        <f>"420"</f>
        <v>420</v>
      </c>
      <c r="K3767" t="s">
        <v>18</v>
      </c>
      <c r="L3767" t="s">
        <v>18</v>
      </c>
      <c r="M3767" t="s">
        <v>18</v>
      </c>
    </row>
    <row r="3768" spans="1:13" x14ac:dyDescent="0.25">
      <c r="A3768" t="str">
        <f>"00914667"</f>
        <v>00914667</v>
      </c>
      <c r="B3768" t="s">
        <v>2999</v>
      </c>
      <c r="C3768" t="s">
        <v>1209</v>
      </c>
      <c r="D3768" t="s">
        <v>91</v>
      </c>
      <c r="E3768" t="s">
        <v>26</v>
      </c>
      <c r="F3768" t="s">
        <v>17</v>
      </c>
      <c r="G3768" t="str">
        <f>"10"</f>
        <v>10</v>
      </c>
      <c r="H3768" t="str">
        <f>"0  "</f>
        <v xml:space="preserve">0  </v>
      </c>
      <c r="I3768" t="str">
        <f>"2019/08/27"</f>
        <v>2019/08/27</v>
      </c>
      <c r="J3768" t="str">
        <f>"440"</f>
        <v>440</v>
      </c>
      <c r="K3768" t="s">
        <v>18</v>
      </c>
      <c r="L3768" t="s">
        <v>18</v>
      </c>
      <c r="M3768" t="s">
        <v>18</v>
      </c>
    </row>
    <row r="3769" spans="1:13" x14ac:dyDescent="0.25">
      <c r="A3769" t="str">
        <f>"00521711"</f>
        <v>00521711</v>
      </c>
      <c r="B3769" t="s">
        <v>3000</v>
      </c>
      <c r="C3769" t="s">
        <v>251</v>
      </c>
      <c r="D3769" t="s">
        <v>61</v>
      </c>
      <c r="E3769" t="s">
        <v>26</v>
      </c>
      <c r="F3769" t="s">
        <v>17</v>
      </c>
      <c r="G3769" t="str">
        <f>"10"</f>
        <v>10</v>
      </c>
      <c r="H3769" t="str">
        <f>"0  "</f>
        <v xml:space="preserve">0  </v>
      </c>
      <c r="I3769" t="str">
        <f>"2020/01/28"</f>
        <v>2020/01/28</v>
      </c>
      <c r="J3769" t="str">
        <f>"503"</f>
        <v>503</v>
      </c>
      <c r="K3769" t="s">
        <v>18</v>
      </c>
      <c r="L3769" t="s">
        <v>18</v>
      </c>
      <c r="M3769" t="s">
        <v>18</v>
      </c>
    </row>
    <row r="3770" spans="1:13" x14ac:dyDescent="0.25">
      <c r="A3770" t="str">
        <f>"00500565"</f>
        <v>00500565</v>
      </c>
      <c r="B3770" t="s">
        <v>3003</v>
      </c>
      <c r="C3770" t="s">
        <v>510</v>
      </c>
      <c r="D3770" t="s">
        <v>21</v>
      </c>
      <c r="E3770" t="s">
        <v>26</v>
      </c>
      <c r="F3770" t="s">
        <v>17</v>
      </c>
      <c r="G3770" t="str">
        <f>"10"</f>
        <v>10</v>
      </c>
      <c r="H3770" t="str">
        <f>"3  "</f>
        <v xml:space="preserve">3  </v>
      </c>
      <c r="I3770" t="str">
        <f>"2018/11/18"</f>
        <v>2018/11/18</v>
      </c>
      <c r="J3770" t="str">
        <f>"110"</f>
        <v>110</v>
      </c>
      <c r="K3770" t="str">
        <f>"20220413"</f>
        <v>20220413</v>
      </c>
      <c r="L3770" t="s">
        <v>18</v>
      </c>
      <c r="M3770" t="str">
        <f>"20170929"</f>
        <v>20170929</v>
      </c>
    </row>
    <row r="3771" spans="1:13" x14ac:dyDescent="0.25">
      <c r="A3771" t="str">
        <f>"00347499"</f>
        <v>00347499</v>
      </c>
      <c r="B3771" t="s">
        <v>3003</v>
      </c>
      <c r="C3771" t="s">
        <v>1175</v>
      </c>
      <c r="D3771" t="s">
        <v>91</v>
      </c>
      <c r="E3771" t="s">
        <v>16</v>
      </c>
      <c r="F3771" t="s">
        <v>17</v>
      </c>
      <c r="G3771" t="str">
        <f>"10"</f>
        <v>10</v>
      </c>
      <c r="H3771" t="str">
        <f>"3  "</f>
        <v xml:space="preserve">3  </v>
      </c>
      <c r="I3771" t="str">
        <f>"2017/06/06"</f>
        <v>2017/06/06</v>
      </c>
      <c r="J3771" t="str">
        <f>"110"</f>
        <v>110</v>
      </c>
      <c r="K3771" t="str">
        <f>"20210421"</f>
        <v>20210421</v>
      </c>
      <c r="L3771" t="s">
        <v>18</v>
      </c>
      <c r="M3771" t="str">
        <f>"20160401"</f>
        <v>20160401</v>
      </c>
    </row>
    <row r="3772" spans="1:13" x14ac:dyDescent="0.25">
      <c r="A3772" t="str">
        <f>"00178199"</f>
        <v>00178199</v>
      </c>
      <c r="B3772" t="s">
        <v>3003</v>
      </c>
      <c r="C3772" t="s">
        <v>367</v>
      </c>
      <c r="D3772" t="s">
        <v>61</v>
      </c>
      <c r="E3772" t="s">
        <v>26</v>
      </c>
      <c r="F3772" t="s">
        <v>17</v>
      </c>
      <c r="G3772" t="str">
        <f>"10"</f>
        <v>10</v>
      </c>
      <c r="H3772" t="str">
        <f>"0  "</f>
        <v xml:space="preserve">0  </v>
      </c>
      <c r="I3772" t="str">
        <f>"2020/09/17"</f>
        <v>2020/09/17</v>
      </c>
      <c r="J3772" t="str">
        <f>"420"</f>
        <v>420</v>
      </c>
      <c r="K3772" t="s">
        <v>18</v>
      </c>
      <c r="L3772" t="s">
        <v>18</v>
      </c>
      <c r="M3772" t="s">
        <v>18</v>
      </c>
    </row>
    <row r="3773" spans="1:13" x14ac:dyDescent="0.25">
      <c r="A3773" t="str">
        <f>"00798844"</f>
        <v>00798844</v>
      </c>
      <c r="B3773" t="s">
        <v>3006</v>
      </c>
      <c r="C3773" t="s">
        <v>3007</v>
      </c>
      <c r="D3773" t="s">
        <v>25</v>
      </c>
      <c r="E3773" t="s">
        <v>26</v>
      </c>
      <c r="F3773" t="s">
        <v>17</v>
      </c>
      <c r="G3773" t="str">
        <f>"10"</f>
        <v>10</v>
      </c>
      <c r="H3773" t="str">
        <f>"0  "</f>
        <v xml:space="preserve">0  </v>
      </c>
      <c r="I3773" t="str">
        <f>"2020/02/20"</f>
        <v>2020/02/20</v>
      </c>
      <c r="J3773" t="str">
        <f>"420"</f>
        <v>420</v>
      </c>
      <c r="K3773" t="s">
        <v>18</v>
      </c>
      <c r="L3773" t="s">
        <v>18</v>
      </c>
      <c r="M3773" t="s">
        <v>18</v>
      </c>
    </row>
    <row r="3774" spans="1:13" x14ac:dyDescent="0.25">
      <c r="A3774" t="str">
        <f>"00906752"</f>
        <v>00906752</v>
      </c>
      <c r="B3774" t="s">
        <v>3008</v>
      </c>
      <c r="C3774" t="s">
        <v>655</v>
      </c>
      <c r="D3774" t="s">
        <v>53</v>
      </c>
      <c r="E3774" t="s">
        <v>26</v>
      </c>
      <c r="F3774" t="s">
        <v>17</v>
      </c>
      <c r="G3774" t="str">
        <f>"10"</f>
        <v>10</v>
      </c>
      <c r="H3774" t="str">
        <f>"1  "</f>
        <v xml:space="preserve">1  </v>
      </c>
      <c r="I3774" t="str">
        <f>"2020/09/22"</f>
        <v>2020/09/22</v>
      </c>
      <c r="J3774" t="str">
        <f>"120"</f>
        <v>120</v>
      </c>
      <c r="K3774" t="str">
        <f>"20201112"</f>
        <v>20201112</v>
      </c>
      <c r="L3774" t="s">
        <v>18</v>
      </c>
      <c r="M3774" t="str">
        <f>"20200821"</f>
        <v>20200821</v>
      </c>
    </row>
    <row r="3775" spans="1:13" x14ac:dyDescent="0.25">
      <c r="A3775" t="str">
        <f>"00326012"</f>
        <v>00326012</v>
      </c>
      <c r="B3775" t="s">
        <v>3013</v>
      </c>
      <c r="C3775" t="s">
        <v>3014</v>
      </c>
      <c r="D3775" t="s">
        <v>97</v>
      </c>
      <c r="E3775" t="s">
        <v>26</v>
      </c>
      <c r="F3775" t="s">
        <v>17</v>
      </c>
      <c r="G3775" t="str">
        <f>"10"</f>
        <v>10</v>
      </c>
      <c r="H3775" t="str">
        <f>"0  "</f>
        <v xml:space="preserve">0  </v>
      </c>
      <c r="I3775" t="str">
        <f>"2020/07/05"</f>
        <v>2020/07/05</v>
      </c>
      <c r="J3775" t="str">
        <f>"420"</f>
        <v>420</v>
      </c>
      <c r="K3775" t="s">
        <v>18</v>
      </c>
      <c r="L3775" t="s">
        <v>18</v>
      </c>
      <c r="M3775" t="s">
        <v>18</v>
      </c>
    </row>
    <row r="3776" spans="1:13" x14ac:dyDescent="0.25">
      <c r="A3776" t="str">
        <f>"00644412"</f>
        <v>00644412</v>
      </c>
      <c r="B3776" t="s">
        <v>3020</v>
      </c>
      <c r="C3776" t="s">
        <v>3021</v>
      </c>
      <c r="D3776" t="s">
        <v>25</v>
      </c>
      <c r="E3776" t="s">
        <v>26</v>
      </c>
      <c r="F3776" t="s">
        <v>17</v>
      </c>
      <c r="G3776" t="str">
        <f>"10"</f>
        <v>10</v>
      </c>
      <c r="H3776" t="str">
        <f>"3  "</f>
        <v xml:space="preserve">3  </v>
      </c>
      <c r="I3776" t="str">
        <f>"2016/07/14"</f>
        <v>2016/07/14</v>
      </c>
      <c r="J3776" t="str">
        <f>"110"</f>
        <v>110</v>
      </c>
      <c r="K3776" t="str">
        <f>"20220425"</f>
        <v>20220425</v>
      </c>
      <c r="L3776" t="s">
        <v>18</v>
      </c>
      <c r="M3776" t="str">
        <f>"20150528"</f>
        <v>20150528</v>
      </c>
    </row>
    <row r="3777" spans="1:13" x14ac:dyDescent="0.25">
      <c r="A3777" t="str">
        <f>"00390888"</f>
        <v>00390888</v>
      </c>
      <c r="B3777" t="s">
        <v>3020</v>
      </c>
      <c r="C3777" t="s">
        <v>1021</v>
      </c>
      <c r="D3777" t="s">
        <v>21</v>
      </c>
      <c r="E3777" t="s">
        <v>26</v>
      </c>
      <c r="F3777" t="s">
        <v>17</v>
      </c>
      <c r="G3777" t="str">
        <f>"10"</f>
        <v>10</v>
      </c>
      <c r="H3777" t="str">
        <f>"0  "</f>
        <v xml:space="preserve">0  </v>
      </c>
      <c r="I3777" t="str">
        <f>"2020/08/14"</f>
        <v>2020/08/14</v>
      </c>
      <c r="J3777" t="str">
        <f>"420"</f>
        <v>420</v>
      </c>
      <c r="K3777" t="s">
        <v>18</v>
      </c>
      <c r="L3777" t="s">
        <v>18</v>
      </c>
      <c r="M3777" t="s">
        <v>18</v>
      </c>
    </row>
    <row r="3778" spans="1:13" x14ac:dyDescent="0.25">
      <c r="A3778" t="str">
        <f>"00558129"</f>
        <v>00558129</v>
      </c>
      <c r="B3778" t="s">
        <v>3020</v>
      </c>
      <c r="C3778" t="s">
        <v>2011</v>
      </c>
      <c r="D3778" t="s">
        <v>37</v>
      </c>
      <c r="E3778" t="s">
        <v>26</v>
      </c>
      <c r="F3778" t="s">
        <v>17</v>
      </c>
      <c r="G3778" t="str">
        <f>"10"</f>
        <v>10</v>
      </c>
      <c r="H3778" t="str">
        <f>"3  "</f>
        <v xml:space="preserve">3  </v>
      </c>
      <c r="I3778" t="str">
        <f>"2019/11/09"</f>
        <v>2019/11/09</v>
      </c>
      <c r="J3778" t="str">
        <f>"110"</f>
        <v>110</v>
      </c>
      <c r="K3778" t="str">
        <f>"20240414"</f>
        <v>20240414</v>
      </c>
      <c r="L3778" t="s">
        <v>18</v>
      </c>
      <c r="M3778" t="str">
        <f>"20190820"</f>
        <v>20190820</v>
      </c>
    </row>
    <row r="3779" spans="1:13" x14ac:dyDescent="0.25">
      <c r="A3779" t="str">
        <f>"00441452"</f>
        <v>00441452</v>
      </c>
      <c r="B3779" t="s">
        <v>3020</v>
      </c>
      <c r="C3779" t="s">
        <v>3023</v>
      </c>
      <c r="D3779" t="s">
        <v>45</v>
      </c>
      <c r="E3779" t="s">
        <v>16</v>
      </c>
      <c r="F3779" t="s">
        <v>17</v>
      </c>
      <c r="G3779" t="str">
        <f>"10"</f>
        <v>10</v>
      </c>
      <c r="H3779" t="str">
        <f>"3  "</f>
        <v xml:space="preserve">3  </v>
      </c>
      <c r="I3779" t="str">
        <f>"2018/09/06"</f>
        <v>2018/09/06</v>
      </c>
      <c r="J3779" t="str">
        <f>"502"</f>
        <v>502</v>
      </c>
      <c r="K3779" t="str">
        <f>"20290615"</f>
        <v>20290615</v>
      </c>
      <c r="L3779" t="s">
        <v>18</v>
      </c>
      <c r="M3779" t="str">
        <f>"20080408"</f>
        <v>20080408</v>
      </c>
    </row>
    <row r="3780" spans="1:13" x14ac:dyDescent="0.25">
      <c r="A3780" t="str">
        <f>"00872253"</f>
        <v>00872253</v>
      </c>
      <c r="B3780" t="s">
        <v>3020</v>
      </c>
      <c r="C3780" t="s">
        <v>75</v>
      </c>
      <c r="D3780" t="s">
        <v>25</v>
      </c>
      <c r="E3780" t="s">
        <v>26</v>
      </c>
      <c r="F3780" t="s">
        <v>17</v>
      </c>
      <c r="G3780" t="str">
        <f>"10"</f>
        <v>10</v>
      </c>
      <c r="H3780" t="str">
        <f>"1  "</f>
        <v xml:space="preserve">1  </v>
      </c>
      <c r="I3780" t="str">
        <f>"2020/09/02"</f>
        <v>2020/09/02</v>
      </c>
      <c r="J3780" t="str">
        <f>"120"</f>
        <v>120</v>
      </c>
      <c r="K3780" t="str">
        <f>"20201005"</f>
        <v>20201005</v>
      </c>
      <c r="L3780" t="s">
        <v>18</v>
      </c>
      <c r="M3780" t="str">
        <f>"20200811"</f>
        <v>20200811</v>
      </c>
    </row>
    <row r="3781" spans="1:13" x14ac:dyDescent="0.25">
      <c r="A3781" t="s">
        <v>3025</v>
      </c>
      <c r="B3781" t="s">
        <v>3026</v>
      </c>
      <c r="C3781" t="s">
        <v>66</v>
      </c>
      <c r="D3781" t="s">
        <v>25</v>
      </c>
      <c r="E3781" t="s">
        <v>16</v>
      </c>
      <c r="F3781" t="s">
        <v>17</v>
      </c>
      <c r="G3781" t="str">
        <f>"10"</f>
        <v>10</v>
      </c>
      <c r="H3781" t="str">
        <f>"0  "</f>
        <v xml:space="preserve">0  </v>
      </c>
      <c r="I3781" t="str">
        <f>"2020/09/17"</f>
        <v>2020/09/17</v>
      </c>
      <c r="J3781" t="str">
        <f>"420"</f>
        <v>420</v>
      </c>
      <c r="K3781" t="s">
        <v>18</v>
      </c>
      <c r="L3781" t="s">
        <v>18</v>
      </c>
      <c r="M3781" t="s">
        <v>18</v>
      </c>
    </row>
    <row r="3782" spans="1:13" x14ac:dyDescent="0.25">
      <c r="A3782" t="str">
        <f>"00202254"</f>
        <v>00202254</v>
      </c>
      <c r="B3782" t="s">
        <v>3027</v>
      </c>
      <c r="C3782" t="s">
        <v>3028</v>
      </c>
      <c r="D3782" t="s">
        <v>51</v>
      </c>
      <c r="E3782" t="s">
        <v>26</v>
      </c>
      <c r="F3782" t="s">
        <v>17</v>
      </c>
      <c r="G3782" t="str">
        <f>"10"</f>
        <v>10</v>
      </c>
      <c r="H3782" t="str">
        <f>"0  "</f>
        <v xml:space="preserve">0  </v>
      </c>
      <c r="I3782" t="str">
        <f>"2020/09/16"</f>
        <v>2020/09/16</v>
      </c>
      <c r="J3782" t="str">
        <f>"420"</f>
        <v>420</v>
      </c>
      <c r="K3782" t="s">
        <v>18</v>
      </c>
      <c r="L3782" t="s">
        <v>18</v>
      </c>
      <c r="M3782" t="s">
        <v>18</v>
      </c>
    </row>
    <row r="3783" spans="1:13" x14ac:dyDescent="0.25">
      <c r="A3783" t="str">
        <f>"00885799"</f>
        <v>00885799</v>
      </c>
      <c r="B3783" t="s">
        <v>3030</v>
      </c>
      <c r="C3783" t="s">
        <v>66</v>
      </c>
      <c r="D3783" t="s">
        <v>15</v>
      </c>
      <c r="E3783" t="s">
        <v>16</v>
      </c>
      <c r="F3783" t="s">
        <v>17</v>
      </c>
      <c r="G3783" t="str">
        <f>"10"</f>
        <v>10</v>
      </c>
      <c r="H3783" t="str">
        <f>"3  "</f>
        <v xml:space="preserve">3  </v>
      </c>
      <c r="I3783" t="str">
        <f>"2019/11/14"</f>
        <v>2019/11/14</v>
      </c>
      <c r="J3783" t="str">
        <f>"110"</f>
        <v>110</v>
      </c>
      <c r="K3783" t="str">
        <f>"20221213"</f>
        <v>20221213</v>
      </c>
      <c r="L3783" t="s">
        <v>18</v>
      </c>
      <c r="M3783" t="str">
        <f>"20180719"</f>
        <v>20180719</v>
      </c>
    </row>
    <row r="3784" spans="1:13" x14ac:dyDescent="0.25">
      <c r="A3784" t="str">
        <f>"00483541"</f>
        <v>00483541</v>
      </c>
      <c r="B3784" t="s">
        <v>3031</v>
      </c>
      <c r="C3784" t="s">
        <v>62</v>
      </c>
      <c r="D3784" t="s">
        <v>25</v>
      </c>
      <c r="E3784" t="s">
        <v>26</v>
      </c>
      <c r="F3784" t="s">
        <v>17</v>
      </c>
      <c r="G3784" t="str">
        <f>"10"</f>
        <v>10</v>
      </c>
      <c r="H3784" t="str">
        <f>"0  "</f>
        <v xml:space="preserve">0  </v>
      </c>
      <c r="I3784" t="str">
        <f>"2020/04/04"</f>
        <v>2020/04/04</v>
      </c>
      <c r="J3784" t="str">
        <f>"420"</f>
        <v>420</v>
      </c>
      <c r="K3784" t="s">
        <v>18</v>
      </c>
      <c r="L3784" t="s">
        <v>18</v>
      </c>
      <c r="M3784" t="s">
        <v>18</v>
      </c>
    </row>
    <row r="3785" spans="1:13" x14ac:dyDescent="0.25">
      <c r="A3785" t="str">
        <f>"00590639"</f>
        <v>00590639</v>
      </c>
      <c r="B3785" t="s">
        <v>3032</v>
      </c>
      <c r="C3785" t="s">
        <v>471</v>
      </c>
      <c r="D3785" t="s">
        <v>97</v>
      </c>
      <c r="E3785" t="s">
        <v>26</v>
      </c>
      <c r="F3785" t="s">
        <v>17</v>
      </c>
      <c r="G3785" t="str">
        <f>"10"</f>
        <v>10</v>
      </c>
      <c r="H3785" t="str">
        <f>"0  "</f>
        <v xml:space="preserve">0  </v>
      </c>
      <c r="I3785" t="str">
        <f>"2020/02/06"</f>
        <v>2020/02/06</v>
      </c>
      <c r="J3785" t="str">
        <f>"420"</f>
        <v>420</v>
      </c>
      <c r="K3785" t="s">
        <v>18</v>
      </c>
      <c r="L3785" t="s">
        <v>18</v>
      </c>
      <c r="M3785" t="s">
        <v>18</v>
      </c>
    </row>
    <row r="3786" spans="1:13" x14ac:dyDescent="0.25">
      <c r="A3786" t="str">
        <f>"00849355"</f>
        <v>00849355</v>
      </c>
      <c r="B3786" t="s">
        <v>3032</v>
      </c>
      <c r="C3786" t="s">
        <v>3033</v>
      </c>
      <c r="D3786" t="s">
        <v>25</v>
      </c>
      <c r="E3786" t="s">
        <v>26</v>
      </c>
      <c r="F3786" t="s">
        <v>17</v>
      </c>
      <c r="G3786" t="str">
        <f>"10"</f>
        <v>10</v>
      </c>
      <c r="H3786" t="str">
        <f>"0  "</f>
        <v xml:space="preserve">0  </v>
      </c>
      <c r="I3786" t="str">
        <f>"2020/03/04"</f>
        <v>2020/03/04</v>
      </c>
      <c r="J3786" t="str">
        <f>"420"</f>
        <v>420</v>
      </c>
      <c r="K3786" t="s">
        <v>18</v>
      </c>
      <c r="L3786" t="s">
        <v>18</v>
      </c>
      <c r="M3786" t="s">
        <v>18</v>
      </c>
    </row>
    <row r="3787" spans="1:13" x14ac:dyDescent="0.25">
      <c r="A3787" t="str">
        <f>"00524000"</f>
        <v>00524000</v>
      </c>
      <c r="B3787" t="s">
        <v>3036</v>
      </c>
      <c r="C3787" t="s">
        <v>55</v>
      </c>
      <c r="D3787" t="s">
        <v>15</v>
      </c>
      <c r="E3787" t="s">
        <v>16</v>
      </c>
      <c r="F3787" t="s">
        <v>17</v>
      </c>
      <c r="G3787" t="str">
        <f>"10"</f>
        <v>10</v>
      </c>
      <c r="H3787" t="str">
        <f>"3  "</f>
        <v xml:space="preserve">3  </v>
      </c>
      <c r="I3787" t="str">
        <f>"2019/04/28"</f>
        <v>2019/04/28</v>
      </c>
      <c r="J3787" t="str">
        <f>"120"</f>
        <v>120</v>
      </c>
      <c r="K3787" t="str">
        <f>"20271108"</f>
        <v>20271108</v>
      </c>
      <c r="L3787" t="s">
        <v>18</v>
      </c>
      <c r="M3787" t="str">
        <f>"20190409"</f>
        <v>20190409</v>
      </c>
    </row>
    <row r="3788" spans="1:13" x14ac:dyDescent="0.25">
      <c r="A3788" t="str">
        <f>"00703020"</f>
        <v>00703020</v>
      </c>
      <c r="B3788" t="s">
        <v>3039</v>
      </c>
      <c r="C3788" t="s">
        <v>3040</v>
      </c>
      <c r="D3788" t="s">
        <v>61</v>
      </c>
      <c r="E3788" t="s">
        <v>26</v>
      </c>
      <c r="F3788" t="s">
        <v>17</v>
      </c>
      <c r="G3788" t="str">
        <f>"10"</f>
        <v>10</v>
      </c>
      <c r="H3788" t="str">
        <f>"0  "</f>
        <v xml:space="preserve">0  </v>
      </c>
      <c r="I3788" t="str">
        <f>"2020/06/15"</f>
        <v>2020/06/15</v>
      </c>
      <c r="J3788" t="str">
        <f>"420"</f>
        <v>420</v>
      </c>
      <c r="K3788" t="s">
        <v>18</v>
      </c>
      <c r="L3788" t="s">
        <v>18</v>
      </c>
      <c r="M3788" t="s">
        <v>18</v>
      </c>
    </row>
    <row r="3789" spans="1:13" x14ac:dyDescent="0.25">
      <c r="A3789" t="str">
        <f>"00581761"</f>
        <v>00581761</v>
      </c>
      <c r="B3789" t="s">
        <v>3044</v>
      </c>
      <c r="C3789" t="s">
        <v>3045</v>
      </c>
      <c r="D3789" t="s">
        <v>21</v>
      </c>
      <c r="E3789" t="s">
        <v>26</v>
      </c>
      <c r="F3789" t="s">
        <v>17</v>
      </c>
      <c r="G3789" t="str">
        <f>"10"</f>
        <v>10</v>
      </c>
      <c r="H3789" t="str">
        <f>"3  "</f>
        <v xml:space="preserve">3  </v>
      </c>
      <c r="I3789" t="str">
        <f>"2019/11/25"</f>
        <v>2019/11/25</v>
      </c>
      <c r="J3789" t="str">
        <f>"110"</f>
        <v>110</v>
      </c>
      <c r="K3789" t="str">
        <f>"20220818"</f>
        <v>20220818</v>
      </c>
      <c r="L3789" t="s">
        <v>18</v>
      </c>
      <c r="M3789" t="str">
        <f>"20190606"</f>
        <v>20190606</v>
      </c>
    </row>
    <row r="3790" spans="1:13" x14ac:dyDescent="0.25">
      <c r="A3790" t="str">
        <f>"00519955"</f>
        <v>00519955</v>
      </c>
      <c r="B3790" t="s">
        <v>3047</v>
      </c>
      <c r="C3790" t="s">
        <v>1609</v>
      </c>
      <c r="D3790" t="s">
        <v>215</v>
      </c>
      <c r="E3790" t="s">
        <v>26</v>
      </c>
      <c r="F3790" t="s">
        <v>17</v>
      </c>
      <c r="G3790" t="str">
        <f>"10"</f>
        <v>10</v>
      </c>
      <c r="H3790" t="str">
        <f>"0  "</f>
        <v xml:space="preserve">0  </v>
      </c>
      <c r="I3790" t="str">
        <f>"2020/04/02"</f>
        <v>2020/04/02</v>
      </c>
      <c r="J3790" t="str">
        <f>"420"</f>
        <v>420</v>
      </c>
      <c r="K3790" t="s">
        <v>18</v>
      </c>
      <c r="L3790" t="s">
        <v>18</v>
      </c>
      <c r="M3790" t="s">
        <v>18</v>
      </c>
    </row>
    <row r="3791" spans="1:13" x14ac:dyDescent="0.25">
      <c r="A3791" t="str">
        <f>"00335947"</f>
        <v>00335947</v>
      </c>
      <c r="B3791" t="s">
        <v>3055</v>
      </c>
      <c r="C3791" t="s">
        <v>1435</v>
      </c>
      <c r="D3791" t="s">
        <v>40</v>
      </c>
      <c r="E3791" t="s">
        <v>16</v>
      </c>
      <c r="F3791" t="s">
        <v>17</v>
      </c>
      <c r="G3791" t="str">
        <f>"10"</f>
        <v>10</v>
      </c>
      <c r="H3791" t="str">
        <f>"3  "</f>
        <v xml:space="preserve">3  </v>
      </c>
      <c r="I3791" t="str">
        <f>"2019/05/17"</f>
        <v>2019/05/17</v>
      </c>
      <c r="J3791" t="str">
        <f>"110"</f>
        <v>110</v>
      </c>
      <c r="K3791" t="str">
        <f>"20210926"</f>
        <v>20210926</v>
      </c>
      <c r="L3791" t="s">
        <v>18</v>
      </c>
      <c r="M3791" t="str">
        <f>"20190411"</f>
        <v>20190411</v>
      </c>
    </row>
    <row r="3792" spans="1:13" x14ac:dyDescent="0.25">
      <c r="A3792" t="str">
        <f>"00367542"</f>
        <v>00367542</v>
      </c>
      <c r="B3792" t="s">
        <v>3057</v>
      </c>
      <c r="C3792" t="s">
        <v>44</v>
      </c>
      <c r="D3792" t="s">
        <v>40</v>
      </c>
      <c r="E3792" t="s">
        <v>16</v>
      </c>
      <c r="F3792" t="s">
        <v>17</v>
      </c>
      <c r="G3792" t="str">
        <f>"10"</f>
        <v>10</v>
      </c>
      <c r="H3792" t="str">
        <f>"0  "</f>
        <v xml:space="preserve">0  </v>
      </c>
      <c r="I3792" t="str">
        <f>"2020/02/20"</f>
        <v>2020/02/20</v>
      </c>
      <c r="J3792" t="str">
        <f>"420"</f>
        <v>420</v>
      </c>
      <c r="K3792" t="s">
        <v>18</v>
      </c>
      <c r="L3792" t="s">
        <v>18</v>
      </c>
      <c r="M3792" t="s">
        <v>18</v>
      </c>
    </row>
    <row r="3793" spans="1:13" x14ac:dyDescent="0.25">
      <c r="A3793" t="str">
        <f>"00872607"</f>
        <v>00872607</v>
      </c>
      <c r="B3793" t="s">
        <v>3059</v>
      </c>
      <c r="C3793" t="s">
        <v>385</v>
      </c>
      <c r="D3793" t="s">
        <v>25</v>
      </c>
      <c r="E3793" t="s">
        <v>16</v>
      </c>
      <c r="F3793" t="s">
        <v>17</v>
      </c>
      <c r="G3793" t="str">
        <f>"10"</f>
        <v>10</v>
      </c>
      <c r="H3793" t="str">
        <f>"0  "</f>
        <v xml:space="preserve">0  </v>
      </c>
      <c r="I3793" t="str">
        <f>"2020/08/04"</f>
        <v>2020/08/04</v>
      </c>
      <c r="J3793" t="str">
        <f>"420"</f>
        <v>420</v>
      </c>
      <c r="K3793" t="s">
        <v>18</v>
      </c>
      <c r="L3793" t="s">
        <v>18</v>
      </c>
      <c r="M3793" t="s">
        <v>18</v>
      </c>
    </row>
    <row r="3794" spans="1:13" x14ac:dyDescent="0.25">
      <c r="A3794" t="str">
        <f>"00425690"</f>
        <v>00425690</v>
      </c>
      <c r="B3794" t="s">
        <v>3060</v>
      </c>
      <c r="C3794" t="s">
        <v>1075</v>
      </c>
      <c r="D3794" t="s">
        <v>25</v>
      </c>
      <c r="E3794" t="s">
        <v>16</v>
      </c>
      <c r="F3794" t="s">
        <v>17</v>
      </c>
      <c r="G3794" t="str">
        <f>"10"</f>
        <v>10</v>
      </c>
      <c r="H3794" t="str">
        <f>"3  "</f>
        <v xml:space="preserve">3  </v>
      </c>
      <c r="I3794" t="str">
        <f>"2019/08/29"</f>
        <v>2019/08/29</v>
      </c>
      <c r="J3794" t="str">
        <f>"110"</f>
        <v>110</v>
      </c>
      <c r="K3794" t="str">
        <f>"20240102"</f>
        <v>20240102</v>
      </c>
      <c r="L3794" t="s">
        <v>18</v>
      </c>
      <c r="M3794" t="str">
        <f>"20180918"</f>
        <v>20180918</v>
      </c>
    </row>
    <row r="3795" spans="1:13" x14ac:dyDescent="0.25">
      <c r="A3795" t="str">
        <f>"00746955"</f>
        <v>00746955</v>
      </c>
      <c r="B3795" t="s">
        <v>3062</v>
      </c>
      <c r="C3795" t="s">
        <v>2861</v>
      </c>
      <c r="D3795" t="s">
        <v>25</v>
      </c>
      <c r="E3795" t="s">
        <v>26</v>
      </c>
      <c r="F3795" t="s">
        <v>17</v>
      </c>
      <c r="G3795" t="str">
        <f>"10"</f>
        <v>10</v>
      </c>
      <c r="H3795" t="str">
        <f>"3  "</f>
        <v xml:space="preserve">3  </v>
      </c>
      <c r="I3795" t="str">
        <f>"2020/09/25"</f>
        <v>2020/09/25</v>
      </c>
      <c r="J3795" t="str">
        <f>"110"</f>
        <v>110</v>
      </c>
      <c r="K3795" t="str">
        <f>"20220324"</f>
        <v>20220324</v>
      </c>
      <c r="L3795" t="s">
        <v>18</v>
      </c>
      <c r="M3795" t="str">
        <f>"20200925"</f>
        <v>20200925</v>
      </c>
    </row>
    <row r="3796" spans="1:13" x14ac:dyDescent="0.25">
      <c r="A3796" t="str">
        <f>"00876334"</f>
        <v>00876334</v>
      </c>
      <c r="B3796" t="s">
        <v>3069</v>
      </c>
      <c r="C3796" t="s">
        <v>3070</v>
      </c>
      <c r="D3796" t="s">
        <v>215</v>
      </c>
      <c r="E3796" t="s">
        <v>16</v>
      </c>
      <c r="F3796" t="s">
        <v>17</v>
      </c>
      <c r="G3796" t="str">
        <f>"10"</f>
        <v>10</v>
      </c>
      <c r="H3796" t="str">
        <f>"0  "</f>
        <v xml:space="preserve">0  </v>
      </c>
      <c r="I3796" t="str">
        <f>"2019/02/12"</f>
        <v>2019/02/12</v>
      </c>
      <c r="J3796" t="str">
        <f>"420"</f>
        <v>420</v>
      </c>
      <c r="K3796" t="s">
        <v>18</v>
      </c>
      <c r="L3796" t="s">
        <v>18</v>
      </c>
      <c r="M3796" t="s">
        <v>18</v>
      </c>
    </row>
    <row r="3797" spans="1:13" x14ac:dyDescent="0.25">
      <c r="A3797" t="str">
        <f>"00926223"</f>
        <v>00926223</v>
      </c>
      <c r="B3797" t="s">
        <v>3071</v>
      </c>
      <c r="C3797" t="s">
        <v>853</v>
      </c>
      <c r="D3797" t="s">
        <v>25</v>
      </c>
      <c r="E3797" t="s">
        <v>16</v>
      </c>
      <c r="F3797" t="s">
        <v>17</v>
      </c>
      <c r="G3797" t="str">
        <f>"10"</f>
        <v>10</v>
      </c>
      <c r="H3797" t="str">
        <f>"0  "</f>
        <v xml:space="preserve">0  </v>
      </c>
      <c r="I3797" t="str">
        <f>"2020/09/19"</f>
        <v>2020/09/19</v>
      </c>
      <c r="J3797" t="str">
        <f>"420"</f>
        <v>420</v>
      </c>
      <c r="K3797" t="s">
        <v>18</v>
      </c>
      <c r="L3797" t="s">
        <v>18</v>
      </c>
      <c r="M3797" t="s">
        <v>18</v>
      </c>
    </row>
    <row r="3798" spans="1:13" x14ac:dyDescent="0.25">
      <c r="A3798" t="str">
        <f>"00486153"</f>
        <v>00486153</v>
      </c>
      <c r="B3798" t="s">
        <v>3092</v>
      </c>
      <c r="C3798" t="s">
        <v>148</v>
      </c>
      <c r="D3798" t="s">
        <v>45</v>
      </c>
      <c r="E3798" t="s">
        <v>26</v>
      </c>
      <c r="F3798" t="s">
        <v>17</v>
      </c>
      <c r="G3798" t="str">
        <f>"10"</f>
        <v>10</v>
      </c>
      <c r="H3798" t="str">
        <f>"0  "</f>
        <v xml:space="preserve">0  </v>
      </c>
      <c r="I3798" t="str">
        <f>"2019/03/28"</f>
        <v>2019/03/28</v>
      </c>
      <c r="J3798" t="str">
        <f>"420"</f>
        <v>420</v>
      </c>
      <c r="K3798" t="s">
        <v>18</v>
      </c>
      <c r="L3798" t="s">
        <v>18</v>
      </c>
      <c r="M3798" t="s">
        <v>18</v>
      </c>
    </row>
    <row r="3799" spans="1:13" x14ac:dyDescent="0.25">
      <c r="A3799" t="str">
        <f>"00733421"</f>
        <v>00733421</v>
      </c>
      <c r="B3799" t="s">
        <v>3096</v>
      </c>
      <c r="C3799" t="s">
        <v>59</v>
      </c>
      <c r="D3799" t="s">
        <v>47</v>
      </c>
      <c r="E3799" t="s">
        <v>16</v>
      </c>
      <c r="F3799" t="s">
        <v>17</v>
      </c>
      <c r="G3799" t="str">
        <f>"10"</f>
        <v>10</v>
      </c>
      <c r="H3799" t="str">
        <f>"1  "</f>
        <v xml:space="preserve">1  </v>
      </c>
      <c r="I3799" t="str">
        <f>"2020/06/17"</f>
        <v>2020/06/17</v>
      </c>
      <c r="J3799" t="str">
        <f>"110"</f>
        <v>110</v>
      </c>
      <c r="K3799" t="str">
        <f>"20201122"</f>
        <v>20201122</v>
      </c>
      <c r="L3799" t="s">
        <v>18</v>
      </c>
      <c r="M3799" t="str">
        <f>"20200605"</f>
        <v>20200605</v>
      </c>
    </row>
    <row r="3800" spans="1:13" x14ac:dyDescent="0.25">
      <c r="A3800" t="str">
        <f>"00382352"</f>
        <v>00382352</v>
      </c>
      <c r="B3800" t="s">
        <v>3097</v>
      </c>
      <c r="C3800" t="s">
        <v>1435</v>
      </c>
      <c r="D3800" t="s">
        <v>51</v>
      </c>
      <c r="E3800" t="s">
        <v>26</v>
      </c>
      <c r="F3800" t="s">
        <v>17</v>
      </c>
      <c r="G3800" t="str">
        <f>"10"</f>
        <v>10</v>
      </c>
      <c r="H3800" t="str">
        <f>"3  "</f>
        <v xml:space="preserve">3  </v>
      </c>
      <c r="I3800" t="str">
        <f>"2020/07/14"</f>
        <v>2020/07/14</v>
      </c>
      <c r="J3800" t="str">
        <f>"110"</f>
        <v>110</v>
      </c>
      <c r="K3800" t="str">
        <f>"20221211"</f>
        <v>20221211</v>
      </c>
      <c r="L3800" t="s">
        <v>18</v>
      </c>
      <c r="M3800" t="str">
        <f>"20200318"</f>
        <v>20200318</v>
      </c>
    </row>
    <row r="3801" spans="1:13" x14ac:dyDescent="0.25">
      <c r="A3801" t="str">
        <f>"00364979"</f>
        <v>00364979</v>
      </c>
      <c r="B3801" t="s">
        <v>3099</v>
      </c>
      <c r="C3801" t="s">
        <v>60</v>
      </c>
      <c r="D3801" t="s">
        <v>40</v>
      </c>
      <c r="E3801" t="s">
        <v>16</v>
      </c>
      <c r="F3801" t="s">
        <v>17</v>
      </c>
      <c r="G3801" t="str">
        <f>"10"</f>
        <v>10</v>
      </c>
      <c r="H3801" t="str">
        <f>"0  "</f>
        <v xml:space="preserve">0  </v>
      </c>
      <c r="I3801" t="str">
        <f>"2020/02/28"</f>
        <v>2020/02/28</v>
      </c>
      <c r="J3801" t="str">
        <f>"420"</f>
        <v>420</v>
      </c>
      <c r="K3801" t="s">
        <v>18</v>
      </c>
      <c r="L3801" t="s">
        <v>18</v>
      </c>
      <c r="M3801" t="s">
        <v>18</v>
      </c>
    </row>
    <row r="3802" spans="1:13" x14ac:dyDescent="0.25">
      <c r="A3802" t="str">
        <f>"00396066"</f>
        <v>00396066</v>
      </c>
      <c r="B3802" t="s">
        <v>3100</v>
      </c>
      <c r="C3802" t="s">
        <v>1036</v>
      </c>
      <c r="D3802" t="s">
        <v>53</v>
      </c>
      <c r="E3802" t="s">
        <v>26</v>
      </c>
      <c r="F3802" t="s">
        <v>17</v>
      </c>
      <c r="G3802" t="str">
        <f>"10"</f>
        <v>10</v>
      </c>
      <c r="H3802" t="str">
        <f>"3  "</f>
        <v xml:space="preserve">3  </v>
      </c>
      <c r="I3802" t="str">
        <f>"2019/07/19"</f>
        <v>2019/07/19</v>
      </c>
      <c r="J3802" t="str">
        <f>"110"</f>
        <v>110</v>
      </c>
      <c r="K3802" t="str">
        <f>"20210417"</f>
        <v>20210417</v>
      </c>
      <c r="L3802" t="s">
        <v>18</v>
      </c>
      <c r="M3802" t="str">
        <f>"20190606"</f>
        <v>20190606</v>
      </c>
    </row>
    <row r="3803" spans="1:13" x14ac:dyDescent="0.25">
      <c r="A3803" t="str">
        <f>"00499266"</f>
        <v>00499266</v>
      </c>
      <c r="B3803" t="s">
        <v>3100</v>
      </c>
      <c r="C3803" t="s">
        <v>578</v>
      </c>
      <c r="D3803" t="s">
        <v>45</v>
      </c>
      <c r="E3803" t="s">
        <v>26</v>
      </c>
      <c r="F3803" t="s">
        <v>17</v>
      </c>
      <c r="G3803" t="str">
        <f>"10"</f>
        <v>10</v>
      </c>
      <c r="H3803" t="str">
        <f>"3  "</f>
        <v xml:space="preserve">3  </v>
      </c>
      <c r="I3803" t="str">
        <f>"2020/07/07"</f>
        <v>2020/07/07</v>
      </c>
      <c r="J3803" t="str">
        <f>"120"</f>
        <v>120</v>
      </c>
      <c r="K3803" t="str">
        <f>"20220324"</f>
        <v>20220324</v>
      </c>
      <c r="L3803" t="s">
        <v>18</v>
      </c>
      <c r="M3803" t="str">
        <f>"20191212"</f>
        <v>20191212</v>
      </c>
    </row>
    <row r="3804" spans="1:13" x14ac:dyDescent="0.25">
      <c r="A3804" t="str">
        <f>"00798621"</f>
        <v>00798621</v>
      </c>
      <c r="B3804" t="s">
        <v>3100</v>
      </c>
      <c r="C3804" t="s">
        <v>3101</v>
      </c>
      <c r="D3804" t="s">
        <v>25</v>
      </c>
      <c r="E3804" t="s">
        <v>26</v>
      </c>
      <c r="F3804" t="s">
        <v>17</v>
      </c>
      <c r="G3804" t="str">
        <f>"10"</f>
        <v>10</v>
      </c>
      <c r="H3804" t="str">
        <f>"3  "</f>
        <v xml:space="preserve">3  </v>
      </c>
      <c r="I3804" t="str">
        <f>"2019/08/06"</f>
        <v>2019/08/06</v>
      </c>
      <c r="J3804" t="str">
        <f>"110"</f>
        <v>110</v>
      </c>
      <c r="K3804" t="str">
        <f>"20201101"</f>
        <v>20201101</v>
      </c>
      <c r="L3804" t="s">
        <v>18</v>
      </c>
      <c r="M3804" t="str">
        <f>"20180417"</f>
        <v>20180417</v>
      </c>
    </row>
    <row r="3805" spans="1:13" x14ac:dyDescent="0.25">
      <c r="A3805" t="str">
        <f>"00528750"</f>
        <v>00528750</v>
      </c>
      <c r="B3805" t="s">
        <v>3102</v>
      </c>
      <c r="C3805" t="s">
        <v>3103</v>
      </c>
      <c r="D3805" t="s">
        <v>61</v>
      </c>
      <c r="E3805" t="s">
        <v>26</v>
      </c>
      <c r="F3805" t="s">
        <v>17</v>
      </c>
      <c r="G3805" t="str">
        <f>"10"</f>
        <v>10</v>
      </c>
      <c r="H3805" t="str">
        <f>"0  "</f>
        <v xml:space="preserve">0  </v>
      </c>
      <c r="I3805" t="str">
        <f>"2020/02/05"</f>
        <v>2020/02/05</v>
      </c>
      <c r="J3805" t="str">
        <f>"420"</f>
        <v>420</v>
      </c>
      <c r="K3805" t="s">
        <v>18</v>
      </c>
      <c r="L3805" t="s">
        <v>18</v>
      </c>
      <c r="M3805" t="s">
        <v>18</v>
      </c>
    </row>
    <row r="3806" spans="1:13" x14ac:dyDescent="0.25">
      <c r="A3806" t="str">
        <f>"00486203"</f>
        <v>00486203</v>
      </c>
      <c r="B3806" t="s">
        <v>3106</v>
      </c>
      <c r="C3806" t="s">
        <v>531</v>
      </c>
      <c r="D3806" t="s">
        <v>25</v>
      </c>
      <c r="E3806" t="s">
        <v>26</v>
      </c>
      <c r="F3806" t="s">
        <v>17</v>
      </c>
      <c r="G3806" t="str">
        <f>"10"</f>
        <v>10</v>
      </c>
      <c r="H3806" t="str">
        <f>"3  "</f>
        <v xml:space="preserve">3  </v>
      </c>
      <c r="I3806" t="str">
        <f>"2020/04/19"</f>
        <v>2020/04/19</v>
      </c>
      <c r="J3806" t="str">
        <f>"504"</f>
        <v>504</v>
      </c>
      <c r="K3806" t="str">
        <f>"20211014"</f>
        <v>20211014</v>
      </c>
      <c r="L3806" t="s">
        <v>18</v>
      </c>
      <c r="M3806" t="str">
        <f>"20181024"</f>
        <v>20181024</v>
      </c>
    </row>
    <row r="3807" spans="1:13" x14ac:dyDescent="0.25">
      <c r="A3807" t="str">
        <f>"00756749"</f>
        <v>00756749</v>
      </c>
      <c r="B3807" t="s">
        <v>3106</v>
      </c>
      <c r="C3807" t="s">
        <v>830</v>
      </c>
      <c r="D3807" t="s">
        <v>40</v>
      </c>
      <c r="E3807" t="s">
        <v>26</v>
      </c>
      <c r="F3807" t="s">
        <v>17</v>
      </c>
      <c r="G3807" t="str">
        <f>"10"</f>
        <v>10</v>
      </c>
      <c r="H3807" t="str">
        <f>"0  "</f>
        <v xml:space="preserve">0  </v>
      </c>
      <c r="I3807" t="str">
        <f>"2020/07/23"</f>
        <v>2020/07/23</v>
      </c>
      <c r="J3807" t="str">
        <f>"512"</f>
        <v>512</v>
      </c>
      <c r="K3807" t="s">
        <v>18</v>
      </c>
      <c r="L3807" t="s">
        <v>18</v>
      </c>
      <c r="M3807" t="s">
        <v>18</v>
      </c>
    </row>
    <row r="3808" spans="1:13" x14ac:dyDescent="0.25">
      <c r="A3808" t="str">
        <f>"00489265"</f>
        <v>00489265</v>
      </c>
      <c r="B3808" t="s">
        <v>3112</v>
      </c>
      <c r="C3808" t="s">
        <v>3113</v>
      </c>
      <c r="D3808" t="s">
        <v>25</v>
      </c>
      <c r="E3808" t="s">
        <v>26</v>
      </c>
      <c r="F3808" t="s">
        <v>17</v>
      </c>
      <c r="G3808" t="str">
        <f>"10"</f>
        <v>10</v>
      </c>
      <c r="H3808" t="str">
        <f>"3  "</f>
        <v xml:space="preserve">3  </v>
      </c>
      <c r="I3808" t="str">
        <f>"2019/08/27"</f>
        <v>2019/08/27</v>
      </c>
      <c r="J3808" t="str">
        <f>"110"</f>
        <v>110</v>
      </c>
      <c r="K3808" t="str">
        <f>"20201129"</f>
        <v>20201129</v>
      </c>
      <c r="L3808" t="s">
        <v>18</v>
      </c>
      <c r="M3808" t="str">
        <f>"20190827"</f>
        <v>20190827</v>
      </c>
    </row>
    <row r="3809" spans="1:13" x14ac:dyDescent="0.25">
      <c r="A3809" t="str">
        <f>"00625222"</f>
        <v>00625222</v>
      </c>
      <c r="B3809" t="s">
        <v>3119</v>
      </c>
      <c r="C3809" t="s">
        <v>397</v>
      </c>
      <c r="D3809" t="s">
        <v>37</v>
      </c>
      <c r="E3809" t="s">
        <v>16</v>
      </c>
      <c r="F3809" t="s">
        <v>17</v>
      </c>
      <c r="G3809" t="str">
        <f>"10"</f>
        <v>10</v>
      </c>
      <c r="H3809" t="str">
        <f>"3  "</f>
        <v xml:space="preserve">3  </v>
      </c>
      <c r="I3809" t="str">
        <f>"2020/02/26"</f>
        <v>2020/02/26</v>
      </c>
      <c r="J3809" t="str">
        <f>"120"</f>
        <v>120</v>
      </c>
      <c r="K3809" t="str">
        <f>"20220913"</f>
        <v>20220913</v>
      </c>
      <c r="L3809" t="s">
        <v>18</v>
      </c>
      <c r="M3809" t="str">
        <f>"20200101"</f>
        <v>20200101</v>
      </c>
    </row>
    <row r="3810" spans="1:13" x14ac:dyDescent="0.25">
      <c r="A3810" t="str">
        <f>"00386187"</f>
        <v>00386187</v>
      </c>
      <c r="B3810" t="s">
        <v>3120</v>
      </c>
      <c r="C3810" t="s">
        <v>439</v>
      </c>
      <c r="D3810" t="s">
        <v>31</v>
      </c>
      <c r="E3810" t="s">
        <v>16</v>
      </c>
      <c r="F3810" t="s">
        <v>17</v>
      </c>
      <c r="G3810" t="str">
        <f>"10"</f>
        <v>10</v>
      </c>
      <c r="H3810" t="str">
        <f>"3  "</f>
        <v xml:space="preserve">3  </v>
      </c>
      <c r="I3810" t="str">
        <f>"2017/04/12"</f>
        <v>2017/04/12</v>
      </c>
      <c r="J3810" t="str">
        <f>"110"</f>
        <v>110</v>
      </c>
      <c r="K3810" t="str">
        <f>"20240401"</f>
        <v>20240401</v>
      </c>
      <c r="L3810" t="s">
        <v>18</v>
      </c>
      <c r="M3810" t="str">
        <f>"20160802"</f>
        <v>20160802</v>
      </c>
    </row>
    <row r="3811" spans="1:13" x14ac:dyDescent="0.25">
      <c r="A3811" t="str">
        <f>"00646360"</f>
        <v>00646360</v>
      </c>
      <c r="B3811" t="s">
        <v>3125</v>
      </c>
      <c r="C3811" t="s">
        <v>346</v>
      </c>
      <c r="D3811" t="s">
        <v>456</v>
      </c>
      <c r="E3811" t="s">
        <v>16</v>
      </c>
      <c r="F3811" t="s">
        <v>17</v>
      </c>
      <c r="G3811" t="str">
        <f>"10"</f>
        <v>10</v>
      </c>
      <c r="H3811" t="str">
        <f>"0  "</f>
        <v xml:space="preserve">0  </v>
      </c>
      <c r="I3811" t="str">
        <f>"2020/07/03"</f>
        <v>2020/07/03</v>
      </c>
      <c r="J3811" t="str">
        <f>"420"</f>
        <v>420</v>
      </c>
      <c r="K3811" t="s">
        <v>18</v>
      </c>
      <c r="L3811" t="s">
        <v>18</v>
      </c>
      <c r="M3811" t="s">
        <v>18</v>
      </c>
    </row>
    <row r="3812" spans="1:13" x14ac:dyDescent="0.25">
      <c r="A3812" t="str">
        <f>"00614688"</f>
        <v>00614688</v>
      </c>
      <c r="B3812" t="s">
        <v>3129</v>
      </c>
      <c r="C3812" t="s">
        <v>3130</v>
      </c>
      <c r="D3812" t="s">
        <v>25</v>
      </c>
      <c r="E3812" t="s">
        <v>16</v>
      </c>
      <c r="F3812" t="s">
        <v>17</v>
      </c>
      <c r="G3812" t="str">
        <f>"10"</f>
        <v>10</v>
      </c>
      <c r="H3812" t="str">
        <f>"3  "</f>
        <v xml:space="preserve">3  </v>
      </c>
      <c r="I3812" t="str">
        <f>"2018/06/11"</f>
        <v>2018/06/11</v>
      </c>
      <c r="J3812" t="str">
        <f>"110"</f>
        <v>110</v>
      </c>
      <c r="K3812" t="str">
        <f>"20221018"</f>
        <v>20221018</v>
      </c>
      <c r="L3812" t="s">
        <v>18</v>
      </c>
      <c r="M3812" t="str">
        <f>"20180206"</f>
        <v>20180206</v>
      </c>
    </row>
    <row r="3813" spans="1:13" x14ac:dyDescent="0.25">
      <c r="A3813" t="str">
        <f>"00218600"</f>
        <v>00218600</v>
      </c>
      <c r="B3813" t="s">
        <v>3135</v>
      </c>
      <c r="C3813" t="s">
        <v>14</v>
      </c>
      <c r="D3813" t="s">
        <v>25</v>
      </c>
      <c r="E3813" t="s">
        <v>26</v>
      </c>
      <c r="F3813" t="s">
        <v>17</v>
      </c>
      <c r="G3813" t="str">
        <f>"10"</f>
        <v>10</v>
      </c>
      <c r="H3813" t="str">
        <f>"3  "</f>
        <v xml:space="preserve">3  </v>
      </c>
      <c r="I3813" t="str">
        <f>"2017/03/31"</f>
        <v>2017/03/31</v>
      </c>
      <c r="J3813" t="str">
        <f>"110"</f>
        <v>110</v>
      </c>
      <c r="K3813" t="str">
        <f>"20230601"</f>
        <v>20230601</v>
      </c>
      <c r="L3813" t="s">
        <v>18</v>
      </c>
      <c r="M3813" t="str">
        <f>"20160803"</f>
        <v>20160803</v>
      </c>
    </row>
    <row r="3814" spans="1:13" x14ac:dyDescent="0.25">
      <c r="A3814" t="str">
        <f>"00370521"</f>
        <v>00370521</v>
      </c>
      <c r="B3814" t="s">
        <v>3138</v>
      </c>
      <c r="C3814" t="s">
        <v>308</v>
      </c>
      <c r="D3814" t="s">
        <v>15</v>
      </c>
      <c r="E3814" t="s">
        <v>26</v>
      </c>
      <c r="F3814" t="s">
        <v>17</v>
      </c>
      <c r="G3814" t="str">
        <f>"10"</f>
        <v>10</v>
      </c>
      <c r="H3814" t="str">
        <f>"3  "</f>
        <v xml:space="preserve">3  </v>
      </c>
      <c r="I3814" t="str">
        <f>"2016/11/07"</f>
        <v>2016/11/07</v>
      </c>
      <c r="J3814" t="str">
        <f>"110"</f>
        <v>110</v>
      </c>
      <c r="K3814" t="str">
        <f>"20220919"</f>
        <v>20220919</v>
      </c>
      <c r="L3814" t="s">
        <v>18</v>
      </c>
      <c r="M3814" t="str">
        <f>"20160508"</f>
        <v>20160508</v>
      </c>
    </row>
    <row r="3815" spans="1:13" x14ac:dyDescent="0.25">
      <c r="A3815" t="str">
        <f>"00695927"</f>
        <v>00695927</v>
      </c>
      <c r="B3815" t="s">
        <v>3140</v>
      </c>
      <c r="C3815" t="s">
        <v>3141</v>
      </c>
      <c r="D3815" t="s">
        <v>25</v>
      </c>
      <c r="E3815" t="s">
        <v>26</v>
      </c>
      <c r="F3815" t="s">
        <v>17</v>
      </c>
      <c r="G3815" t="str">
        <f>"10"</f>
        <v>10</v>
      </c>
      <c r="H3815" t="str">
        <f>"3  "</f>
        <v xml:space="preserve">3  </v>
      </c>
      <c r="I3815" t="str">
        <f>"2018/09/08"</f>
        <v>2018/09/08</v>
      </c>
      <c r="J3815" t="str">
        <f>"110"</f>
        <v>110</v>
      </c>
      <c r="K3815" t="str">
        <f>"20250921"</f>
        <v>20250921</v>
      </c>
      <c r="L3815" t="s">
        <v>18</v>
      </c>
      <c r="M3815" t="str">
        <f>"20171025"</f>
        <v>20171025</v>
      </c>
    </row>
    <row r="3816" spans="1:13" x14ac:dyDescent="0.25">
      <c r="A3816" t="str">
        <f>"00937556"</f>
        <v>00937556</v>
      </c>
      <c r="B3816" t="s">
        <v>3149</v>
      </c>
      <c r="C3816" t="s">
        <v>1594</v>
      </c>
      <c r="D3816" t="s">
        <v>45</v>
      </c>
      <c r="E3816" t="s">
        <v>16</v>
      </c>
      <c r="F3816" t="s">
        <v>17</v>
      </c>
      <c r="G3816" t="str">
        <f>"10"</f>
        <v>10</v>
      </c>
      <c r="H3816" t="str">
        <f>"0  "</f>
        <v xml:space="preserve">0  </v>
      </c>
      <c r="I3816" t="str">
        <f>"2020/09/21"</f>
        <v>2020/09/21</v>
      </c>
      <c r="J3816" t="str">
        <f>"420"</f>
        <v>420</v>
      </c>
      <c r="K3816" t="s">
        <v>18</v>
      </c>
      <c r="L3816" t="s">
        <v>18</v>
      </c>
      <c r="M3816" t="s">
        <v>18</v>
      </c>
    </row>
    <row r="3817" spans="1:13" x14ac:dyDescent="0.25">
      <c r="A3817" t="str">
        <f>"00252454"</f>
        <v>00252454</v>
      </c>
      <c r="B3817" t="s">
        <v>3150</v>
      </c>
      <c r="C3817" t="s">
        <v>1177</v>
      </c>
      <c r="D3817" t="s">
        <v>26</v>
      </c>
      <c r="E3817" t="s">
        <v>26</v>
      </c>
      <c r="F3817" t="s">
        <v>17</v>
      </c>
      <c r="G3817" t="str">
        <f>"10"</f>
        <v>10</v>
      </c>
      <c r="H3817" t="str">
        <f>"0  "</f>
        <v xml:space="preserve">0  </v>
      </c>
      <c r="I3817" t="str">
        <f>"2020/02/03"</f>
        <v>2020/02/03</v>
      </c>
      <c r="J3817" t="str">
        <f>"410"</f>
        <v>410</v>
      </c>
      <c r="K3817" t="s">
        <v>18</v>
      </c>
      <c r="L3817" t="s">
        <v>18</v>
      </c>
      <c r="M3817" t="s">
        <v>18</v>
      </c>
    </row>
    <row r="3818" spans="1:13" x14ac:dyDescent="0.25">
      <c r="A3818" t="str">
        <f>"00705809"</f>
        <v>00705809</v>
      </c>
      <c r="B3818" t="s">
        <v>3155</v>
      </c>
      <c r="C3818" t="s">
        <v>3156</v>
      </c>
      <c r="D3818" t="s">
        <v>53</v>
      </c>
      <c r="E3818" t="s">
        <v>26</v>
      </c>
      <c r="F3818" t="s">
        <v>17</v>
      </c>
      <c r="G3818" t="str">
        <f>"10"</f>
        <v>10</v>
      </c>
      <c r="H3818" t="str">
        <f>"0  "</f>
        <v xml:space="preserve">0  </v>
      </c>
      <c r="I3818" t="str">
        <f>"2020/09/03"</f>
        <v>2020/09/03</v>
      </c>
      <c r="J3818" t="str">
        <f>"420"</f>
        <v>420</v>
      </c>
      <c r="K3818" t="s">
        <v>18</v>
      </c>
      <c r="L3818" t="s">
        <v>18</v>
      </c>
      <c r="M3818" t="s">
        <v>18</v>
      </c>
    </row>
    <row r="3819" spans="1:13" x14ac:dyDescent="0.25">
      <c r="A3819" t="str">
        <f>"00471128"</f>
        <v>00471128</v>
      </c>
      <c r="B3819" t="s">
        <v>3170</v>
      </c>
      <c r="C3819" t="s">
        <v>218</v>
      </c>
      <c r="D3819" t="s">
        <v>25</v>
      </c>
      <c r="E3819" t="s">
        <v>26</v>
      </c>
      <c r="F3819" t="s">
        <v>17</v>
      </c>
      <c r="G3819" t="str">
        <f>"10"</f>
        <v>10</v>
      </c>
      <c r="H3819" t="str">
        <f>"3  "</f>
        <v xml:space="preserve">3  </v>
      </c>
      <c r="I3819" t="str">
        <f>"2017/03/21"</f>
        <v>2017/03/21</v>
      </c>
      <c r="J3819" t="str">
        <f>"110"</f>
        <v>110</v>
      </c>
      <c r="K3819" t="str">
        <f>"20260719"</f>
        <v>20260719</v>
      </c>
      <c r="L3819" t="s">
        <v>18</v>
      </c>
      <c r="M3819" t="str">
        <f>"20160303"</f>
        <v>20160303</v>
      </c>
    </row>
    <row r="3820" spans="1:13" x14ac:dyDescent="0.25">
      <c r="A3820" t="str">
        <f>"00811786"</f>
        <v>00811786</v>
      </c>
      <c r="B3820" t="s">
        <v>3170</v>
      </c>
      <c r="C3820" t="s">
        <v>785</v>
      </c>
      <c r="D3820" t="s">
        <v>25</v>
      </c>
      <c r="E3820" t="s">
        <v>16</v>
      </c>
      <c r="F3820" t="s">
        <v>17</v>
      </c>
      <c r="G3820" t="str">
        <f>"10"</f>
        <v>10</v>
      </c>
      <c r="H3820" t="str">
        <f>"0  "</f>
        <v xml:space="preserve">0  </v>
      </c>
      <c r="I3820" t="str">
        <f>"2020/03/03"</f>
        <v>2020/03/03</v>
      </c>
      <c r="J3820" t="str">
        <f>"420"</f>
        <v>420</v>
      </c>
      <c r="K3820" t="s">
        <v>18</v>
      </c>
      <c r="L3820" t="s">
        <v>18</v>
      </c>
      <c r="M3820" t="s">
        <v>18</v>
      </c>
    </row>
    <row r="3821" spans="1:13" x14ac:dyDescent="0.25">
      <c r="A3821" t="str">
        <f>"00869117"</f>
        <v>00869117</v>
      </c>
      <c r="B3821" t="s">
        <v>3170</v>
      </c>
      <c r="C3821" t="s">
        <v>172</v>
      </c>
      <c r="D3821" t="s">
        <v>15</v>
      </c>
      <c r="E3821" t="s">
        <v>16</v>
      </c>
      <c r="F3821" t="s">
        <v>17</v>
      </c>
      <c r="G3821" t="str">
        <f>"10"</f>
        <v>10</v>
      </c>
      <c r="H3821" t="str">
        <f>"3  "</f>
        <v xml:space="preserve">3  </v>
      </c>
      <c r="I3821" t="str">
        <f>"2019/05/06"</f>
        <v>2019/05/06</v>
      </c>
      <c r="J3821" t="str">
        <f>"110"</f>
        <v>110</v>
      </c>
      <c r="K3821" t="str">
        <f>"20210211"</f>
        <v>20210211</v>
      </c>
      <c r="L3821" t="s">
        <v>18</v>
      </c>
      <c r="M3821" t="str">
        <f>"20180310"</f>
        <v>20180310</v>
      </c>
    </row>
    <row r="3822" spans="1:13" x14ac:dyDescent="0.25">
      <c r="A3822" t="str">
        <f>"00766946"</f>
        <v>00766946</v>
      </c>
      <c r="B3822" t="s">
        <v>3170</v>
      </c>
      <c r="C3822" t="s">
        <v>398</v>
      </c>
      <c r="D3822" t="s">
        <v>25</v>
      </c>
      <c r="E3822" t="s">
        <v>16</v>
      </c>
      <c r="F3822" t="s">
        <v>17</v>
      </c>
      <c r="G3822" t="str">
        <f>"10"</f>
        <v>10</v>
      </c>
      <c r="H3822" t="str">
        <f>"0  "</f>
        <v xml:space="preserve">0  </v>
      </c>
      <c r="I3822" t="str">
        <f>"2019/08/08"</f>
        <v>2019/08/08</v>
      </c>
      <c r="J3822" t="str">
        <f>"420"</f>
        <v>420</v>
      </c>
      <c r="K3822" t="s">
        <v>18</v>
      </c>
      <c r="L3822" t="s">
        <v>18</v>
      </c>
      <c r="M3822" t="s">
        <v>18</v>
      </c>
    </row>
    <row r="3823" spans="1:13" x14ac:dyDescent="0.25">
      <c r="A3823" t="str">
        <f>"00318833"</f>
        <v>00318833</v>
      </c>
      <c r="B3823" t="s">
        <v>3170</v>
      </c>
      <c r="C3823" t="s">
        <v>74</v>
      </c>
      <c r="D3823" t="s">
        <v>25</v>
      </c>
      <c r="E3823" t="s">
        <v>16</v>
      </c>
      <c r="F3823" t="s">
        <v>17</v>
      </c>
      <c r="G3823" t="str">
        <f>"10"</f>
        <v>10</v>
      </c>
      <c r="H3823" t="str">
        <f>"0  "</f>
        <v xml:space="preserve">0  </v>
      </c>
      <c r="I3823" t="str">
        <f>"2019/06/12"</f>
        <v>2019/06/12</v>
      </c>
      <c r="J3823" t="str">
        <f>"420"</f>
        <v>420</v>
      </c>
      <c r="K3823" t="s">
        <v>18</v>
      </c>
      <c r="L3823" t="s">
        <v>18</v>
      </c>
      <c r="M3823" t="s">
        <v>18</v>
      </c>
    </row>
    <row r="3824" spans="1:13" x14ac:dyDescent="0.25">
      <c r="A3824" t="str">
        <f>"00421301"</f>
        <v>00421301</v>
      </c>
      <c r="B3824" t="s">
        <v>3170</v>
      </c>
      <c r="C3824" t="s">
        <v>3173</v>
      </c>
      <c r="D3824" t="s">
        <v>25</v>
      </c>
      <c r="E3824" t="s">
        <v>16</v>
      </c>
      <c r="F3824" t="s">
        <v>17</v>
      </c>
      <c r="G3824" t="str">
        <f>"10"</f>
        <v>10</v>
      </c>
      <c r="H3824" t="str">
        <f>"3  "</f>
        <v xml:space="preserve">3  </v>
      </c>
      <c r="I3824" t="str">
        <f>"2020/02/12"</f>
        <v>2020/02/12</v>
      </c>
      <c r="J3824" t="str">
        <f>"502"</f>
        <v>502</v>
      </c>
      <c r="K3824" t="str">
        <f>"20210117"</f>
        <v>20210117</v>
      </c>
      <c r="L3824" t="s">
        <v>18</v>
      </c>
      <c r="M3824" t="str">
        <f>"20111126"</f>
        <v>20111126</v>
      </c>
    </row>
    <row r="3825" spans="1:13" x14ac:dyDescent="0.25">
      <c r="A3825" t="str">
        <f>"00596036"</f>
        <v>00596036</v>
      </c>
      <c r="B3825" t="s">
        <v>3175</v>
      </c>
      <c r="C3825" t="s">
        <v>136</v>
      </c>
      <c r="D3825" t="s">
        <v>40</v>
      </c>
      <c r="E3825" t="s">
        <v>16</v>
      </c>
      <c r="F3825" t="s">
        <v>17</v>
      </c>
      <c r="G3825" t="str">
        <f>"10"</f>
        <v>10</v>
      </c>
      <c r="H3825" t="str">
        <f>"0  "</f>
        <v xml:space="preserve">0  </v>
      </c>
      <c r="I3825" t="str">
        <f>"2020/05/18"</f>
        <v>2020/05/18</v>
      </c>
      <c r="J3825" t="str">
        <f>"430"</f>
        <v>430</v>
      </c>
      <c r="K3825" t="s">
        <v>18</v>
      </c>
      <c r="L3825" t="s">
        <v>18</v>
      </c>
      <c r="M3825" t="s">
        <v>18</v>
      </c>
    </row>
    <row r="3826" spans="1:13" x14ac:dyDescent="0.25">
      <c r="A3826" t="str">
        <f>"00324064"</f>
        <v>00324064</v>
      </c>
      <c r="B3826" t="s">
        <v>3179</v>
      </c>
      <c r="C3826" t="s">
        <v>302</v>
      </c>
      <c r="D3826" t="s">
        <v>51</v>
      </c>
      <c r="E3826" t="s">
        <v>26</v>
      </c>
      <c r="F3826" t="s">
        <v>17</v>
      </c>
      <c r="G3826" t="str">
        <f>"10"</f>
        <v>10</v>
      </c>
      <c r="H3826" t="str">
        <f>"3  "</f>
        <v xml:space="preserve">3  </v>
      </c>
      <c r="I3826" t="str">
        <f>"2017/10/24"</f>
        <v>2017/10/24</v>
      </c>
      <c r="J3826" t="str">
        <f>"110"</f>
        <v>110</v>
      </c>
      <c r="K3826" t="str">
        <f>"20210810"</f>
        <v>20210810</v>
      </c>
      <c r="L3826" t="s">
        <v>18</v>
      </c>
      <c r="M3826" t="str">
        <f>"20170605"</f>
        <v>20170605</v>
      </c>
    </row>
    <row r="3827" spans="1:13" x14ac:dyDescent="0.25">
      <c r="A3827" t="str">
        <f>"00765999"</f>
        <v>00765999</v>
      </c>
      <c r="B3827" t="s">
        <v>3179</v>
      </c>
      <c r="C3827" t="s">
        <v>3180</v>
      </c>
      <c r="D3827" t="s">
        <v>53</v>
      </c>
      <c r="E3827" t="s">
        <v>26</v>
      </c>
      <c r="F3827" t="s">
        <v>17</v>
      </c>
      <c r="G3827" t="str">
        <f>"10"</f>
        <v>10</v>
      </c>
      <c r="H3827" t="str">
        <f>"0  "</f>
        <v xml:space="preserve">0  </v>
      </c>
      <c r="I3827" t="str">
        <f>"2020/07/11"</f>
        <v>2020/07/11</v>
      </c>
      <c r="J3827" t="str">
        <f>"420"</f>
        <v>420</v>
      </c>
      <c r="K3827" t="s">
        <v>18</v>
      </c>
      <c r="L3827" t="s">
        <v>18</v>
      </c>
      <c r="M3827" t="s">
        <v>18</v>
      </c>
    </row>
    <row r="3828" spans="1:13" x14ac:dyDescent="0.25">
      <c r="A3828" t="str">
        <f>"00830201"</f>
        <v>00830201</v>
      </c>
      <c r="B3828" t="s">
        <v>3179</v>
      </c>
      <c r="C3828" t="s">
        <v>3181</v>
      </c>
      <c r="D3828" t="s">
        <v>15</v>
      </c>
      <c r="E3828" t="s">
        <v>26</v>
      </c>
      <c r="F3828" t="s">
        <v>17</v>
      </c>
      <c r="G3828" t="str">
        <f>"10"</f>
        <v>10</v>
      </c>
      <c r="H3828" t="str">
        <f>"0  "</f>
        <v xml:space="preserve">0  </v>
      </c>
      <c r="I3828" t="str">
        <f>"2020/08/04"</f>
        <v>2020/08/04</v>
      </c>
      <c r="J3828" t="str">
        <f>"420"</f>
        <v>420</v>
      </c>
      <c r="K3828" t="s">
        <v>18</v>
      </c>
      <c r="L3828" t="s">
        <v>18</v>
      </c>
      <c r="M3828" t="s">
        <v>18</v>
      </c>
    </row>
    <row r="3829" spans="1:13" x14ac:dyDescent="0.25">
      <c r="A3829" t="str">
        <f>"00924249"</f>
        <v>00924249</v>
      </c>
      <c r="B3829" t="s">
        <v>3184</v>
      </c>
      <c r="C3829" t="s">
        <v>1207</v>
      </c>
      <c r="D3829" t="s">
        <v>25</v>
      </c>
      <c r="E3829" t="s">
        <v>26</v>
      </c>
      <c r="F3829" t="s">
        <v>17</v>
      </c>
      <c r="G3829" t="str">
        <f>"10"</f>
        <v>10</v>
      </c>
      <c r="H3829" t="str">
        <f>"3  "</f>
        <v xml:space="preserve">3  </v>
      </c>
      <c r="I3829" t="str">
        <f>"2020/07/17"</f>
        <v>2020/07/17</v>
      </c>
      <c r="J3829" t="str">
        <f>"110"</f>
        <v>110</v>
      </c>
      <c r="K3829" t="str">
        <f>"20210605"</f>
        <v>20210605</v>
      </c>
      <c r="L3829" t="s">
        <v>18</v>
      </c>
      <c r="M3829" t="str">
        <f>"20200118"</f>
        <v>20200118</v>
      </c>
    </row>
    <row r="3830" spans="1:13" x14ac:dyDescent="0.25">
      <c r="A3830" t="str">
        <f>"00304536"</f>
        <v>00304536</v>
      </c>
      <c r="B3830" t="s">
        <v>3187</v>
      </c>
      <c r="C3830" t="s">
        <v>74</v>
      </c>
      <c r="D3830" t="s">
        <v>16</v>
      </c>
      <c r="E3830" t="s">
        <v>26</v>
      </c>
      <c r="F3830" t="s">
        <v>17</v>
      </c>
      <c r="G3830" t="str">
        <f>"10"</f>
        <v>10</v>
      </c>
      <c r="H3830" t="str">
        <f>"3  "</f>
        <v xml:space="preserve">3  </v>
      </c>
      <c r="I3830" t="str">
        <f>"2017/12/09"</f>
        <v>2017/12/09</v>
      </c>
      <c r="J3830" t="str">
        <f>"110"</f>
        <v>110</v>
      </c>
      <c r="K3830" t="str">
        <f>"20210329"</f>
        <v>20210329</v>
      </c>
      <c r="L3830" t="s">
        <v>18</v>
      </c>
      <c r="M3830" t="str">
        <f>"20171110"</f>
        <v>20171110</v>
      </c>
    </row>
    <row r="3831" spans="1:13" x14ac:dyDescent="0.25">
      <c r="A3831" t="str">
        <f>"00691329"</f>
        <v>00691329</v>
      </c>
      <c r="B3831" t="s">
        <v>3191</v>
      </c>
      <c r="C3831" t="s">
        <v>3193</v>
      </c>
      <c r="D3831" t="s">
        <v>25</v>
      </c>
      <c r="E3831" t="s">
        <v>26</v>
      </c>
      <c r="F3831" t="s">
        <v>17</v>
      </c>
      <c r="G3831" t="str">
        <f>"10"</f>
        <v>10</v>
      </c>
      <c r="H3831" t="str">
        <f>"3  "</f>
        <v xml:space="preserve">3  </v>
      </c>
      <c r="I3831" t="str">
        <f>"2019/06/10"</f>
        <v>2019/06/10</v>
      </c>
      <c r="J3831" t="str">
        <f>"110"</f>
        <v>110</v>
      </c>
      <c r="K3831" t="str">
        <f>"20211129"</f>
        <v>20211129</v>
      </c>
      <c r="L3831" t="s">
        <v>18</v>
      </c>
      <c r="M3831" t="str">
        <f>"20190413"</f>
        <v>20190413</v>
      </c>
    </row>
    <row r="3832" spans="1:13" x14ac:dyDescent="0.25">
      <c r="A3832" t="str">
        <f>"00753644"</f>
        <v>00753644</v>
      </c>
      <c r="B3832" t="s">
        <v>3191</v>
      </c>
      <c r="C3832" t="s">
        <v>3194</v>
      </c>
      <c r="D3832" t="s">
        <v>51</v>
      </c>
      <c r="E3832" t="s">
        <v>26</v>
      </c>
      <c r="F3832" t="s">
        <v>17</v>
      </c>
      <c r="G3832" t="str">
        <f>"10"</f>
        <v>10</v>
      </c>
      <c r="H3832" t="str">
        <f>"0  "</f>
        <v xml:space="preserve">0  </v>
      </c>
      <c r="I3832" t="str">
        <f>"2020/08/25"</f>
        <v>2020/08/25</v>
      </c>
      <c r="J3832" t="str">
        <f>"420"</f>
        <v>420</v>
      </c>
      <c r="K3832" t="s">
        <v>18</v>
      </c>
      <c r="L3832" t="s">
        <v>18</v>
      </c>
      <c r="M3832" t="s">
        <v>18</v>
      </c>
    </row>
    <row r="3833" spans="1:13" x14ac:dyDescent="0.25">
      <c r="A3833" t="str">
        <f>"00841385"</f>
        <v>00841385</v>
      </c>
      <c r="B3833" t="s">
        <v>3191</v>
      </c>
      <c r="C3833" t="s">
        <v>3195</v>
      </c>
      <c r="D3833" t="s">
        <v>25</v>
      </c>
      <c r="E3833" t="s">
        <v>26</v>
      </c>
      <c r="F3833" t="s">
        <v>17</v>
      </c>
      <c r="G3833" t="str">
        <f>"10"</f>
        <v>10</v>
      </c>
      <c r="H3833" t="str">
        <f>"3  "</f>
        <v xml:space="preserve">3  </v>
      </c>
      <c r="I3833" t="str">
        <f>"2017/05/24"</f>
        <v>2017/05/24</v>
      </c>
      <c r="J3833" t="str">
        <f>"120"</f>
        <v>120</v>
      </c>
      <c r="K3833" t="str">
        <f>"20210725"</f>
        <v>20210725</v>
      </c>
      <c r="L3833" t="s">
        <v>18</v>
      </c>
      <c r="M3833" t="str">
        <f>"20170426"</f>
        <v>20170426</v>
      </c>
    </row>
    <row r="3834" spans="1:13" x14ac:dyDescent="0.25">
      <c r="A3834" t="str">
        <f>"00419707"</f>
        <v>00419707</v>
      </c>
      <c r="B3834" t="s">
        <v>3191</v>
      </c>
      <c r="C3834" t="s">
        <v>532</v>
      </c>
      <c r="D3834" t="s">
        <v>51</v>
      </c>
      <c r="E3834" t="s">
        <v>26</v>
      </c>
      <c r="F3834" t="s">
        <v>17</v>
      </c>
      <c r="G3834" t="str">
        <f>"10"</f>
        <v>10</v>
      </c>
      <c r="H3834" t="str">
        <f>"3  "</f>
        <v xml:space="preserve">3  </v>
      </c>
      <c r="I3834" t="str">
        <f>"2016/02/24"</f>
        <v>2016/02/24</v>
      </c>
      <c r="J3834" t="str">
        <f>"110"</f>
        <v>110</v>
      </c>
      <c r="K3834" t="str">
        <f>"20231203"</f>
        <v>20231203</v>
      </c>
      <c r="L3834" t="s">
        <v>18</v>
      </c>
      <c r="M3834" t="str">
        <f>"20150530"</f>
        <v>20150530</v>
      </c>
    </row>
    <row r="3835" spans="1:13" x14ac:dyDescent="0.25">
      <c r="A3835" t="str">
        <f>"00655971"</f>
        <v>00655971</v>
      </c>
      <c r="B3835" t="s">
        <v>3191</v>
      </c>
      <c r="C3835" t="s">
        <v>3197</v>
      </c>
      <c r="D3835" t="s">
        <v>25</v>
      </c>
      <c r="E3835" t="s">
        <v>26</v>
      </c>
      <c r="F3835" t="s">
        <v>17</v>
      </c>
      <c r="G3835" t="str">
        <f>"10"</f>
        <v>10</v>
      </c>
      <c r="H3835" t="str">
        <f>"0  "</f>
        <v xml:space="preserve">0  </v>
      </c>
      <c r="I3835" t="str">
        <f>"2019/09/15"</f>
        <v>2019/09/15</v>
      </c>
      <c r="J3835" t="str">
        <f>"420"</f>
        <v>420</v>
      </c>
      <c r="K3835" t="s">
        <v>18</v>
      </c>
      <c r="L3835" t="s">
        <v>18</v>
      </c>
      <c r="M3835" t="s">
        <v>18</v>
      </c>
    </row>
    <row r="3836" spans="1:13" x14ac:dyDescent="0.25">
      <c r="A3836" t="str">
        <f>"00550313"</f>
        <v>00550313</v>
      </c>
      <c r="B3836" t="s">
        <v>3191</v>
      </c>
      <c r="C3836" t="s">
        <v>3200</v>
      </c>
      <c r="D3836" t="s">
        <v>53</v>
      </c>
      <c r="E3836" t="s">
        <v>26</v>
      </c>
      <c r="F3836" t="s">
        <v>17</v>
      </c>
      <c r="G3836" t="str">
        <f>"10"</f>
        <v>10</v>
      </c>
      <c r="H3836" t="str">
        <f>"3  "</f>
        <v xml:space="preserve">3  </v>
      </c>
      <c r="I3836" t="str">
        <f>"2020/03/20"</f>
        <v>2020/03/20</v>
      </c>
      <c r="J3836" t="str">
        <f>"502"</f>
        <v>502</v>
      </c>
      <c r="K3836" t="str">
        <f>"20201024"</f>
        <v>20201024</v>
      </c>
      <c r="L3836" t="s">
        <v>18</v>
      </c>
      <c r="M3836" t="str">
        <f>"20130816"</f>
        <v>20130816</v>
      </c>
    </row>
    <row r="3837" spans="1:13" x14ac:dyDescent="0.25">
      <c r="A3837" t="str">
        <f>"00439886"</f>
        <v>00439886</v>
      </c>
      <c r="B3837" t="s">
        <v>3191</v>
      </c>
      <c r="C3837" t="s">
        <v>169</v>
      </c>
      <c r="D3837" t="s">
        <v>61</v>
      </c>
      <c r="E3837" t="s">
        <v>16</v>
      </c>
      <c r="F3837" t="s">
        <v>17</v>
      </c>
      <c r="G3837" t="str">
        <f>"10"</f>
        <v>10</v>
      </c>
      <c r="H3837" t="str">
        <f>"3  "</f>
        <v xml:space="preserve">3  </v>
      </c>
      <c r="I3837" t="str">
        <f>"2016/05/02"</f>
        <v>2016/05/02</v>
      </c>
      <c r="J3837" t="str">
        <f>"110"</f>
        <v>110</v>
      </c>
      <c r="K3837" t="str">
        <f>"20210118"</f>
        <v>20210118</v>
      </c>
      <c r="L3837" t="s">
        <v>18</v>
      </c>
      <c r="M3837" t="str">
        <f>"20160128"</f>
        <v>20160128</v>
      </c>
    </row>
    <row r="3838" spans="1:13" x14ac:dyDescent="0.25">
      <c r="A3838" t="str">
        <f>"00618770"</f>
        <v>00618770</v>
      </c>
      <c r="B3838" t="s">
        <v>3209</v>
      </c>
      <c r="C3838" t="s">
        <v>316</v>
      </c>
      <c r="D3838" t="s">
        <v>25</v>
      </c>
      <c r="E3838" t="s">
        <v>16</v>
      </c>
      <c r="F3838" t="s">
        <v>17</v>
      </c>
      <c r="G3838" t="str">
        <f>"10"</f>
        <v>10</v>
      </c>
      <c r="H3838" t="str">
        <f>"0  "</f>
        <v xml:space="preserve">0  </v>
      </c>
      <c r="I3838" t="str">
        <f>"2020/09/16"</f>
        <v>2020/09/16</v>
      </c>
      <c r="J3838" t="str">
        <f>"420"</f>
        <v>420</v>
      </c>
      <c r="K3838" t="s">
        <v>18</v>
      </c>
      <c r="L3838" t="s">
        <v>18</v>
      </c>
      <c r="M3838" t="s">
        <v>18</v>
      </c>
    </row>
    <row r="3839" spans="1:13" x14ac:dyDescent="0.25">
      <c r="A3839" t="str">
        <f>"00667453"</f>
        <v>00667453</v>
      </c>
      <c r="B3839" t="s">
        <v>3209</v>
      </c>
      <c r="C3839" t="s">
        <v>398</v>
      </c>
      <c r="D3839" t="s">
        <v>26</v>
      </c>
      <c r="E3839" t="s">
        <v>16</v>
      </c>
      <c r="F3839" t="s">
        <v>17</v>
      </c>
      <c r="G3839" t="str">
        <f>"10"</f>
        <v>10</v>
      </c>
      <c r="H3839" t="str">
        <f>"0  "</f>
        <v xml:space="preserve">0  </v>
      </c>
      <c r="I3839" t="str">
        <f>"2020/07/08"</f>
        <v>2020/07/08</v>
      </c>
      <c r="J3839" t="str">
        <f>"420"</f>
        <v>420</v>
      </c>
      <c r="K3839" t="s">
        <v>18</v>
      </c>
      <c r="L3839" t="s">
        <v>18</v>
      </c>
      <c r="M3839" t="s">
        <v>18</v>
      </c>
    </row>
    <row r="3840" spans="1:13" x14ac:dyDescent="0.25">
      <c r="A3840" t="str">
        <f>"00232476"</f>
        <v>00232476</v>
      </c>
      <c r="B3840" t="s">
        <v>3209</v>
      </c>
      <c r="C3840" t="s">
        <v>36</v>
      </c>
      <c r="D3840" t="s">
        <v>40</v>
      </c>
      <c r="E3840" t="s">
        <v>16</v>
      </c>
      <c r="F3840" t="s">
        <v>17</v>
      </c>
      <c r="G3840" t="str">
        <f>"10"</f>
        <v>10</v>
      </c>
      <c r="H3840" t="str">
        <f>"0  "</f>
        <v xml:space="preserve">0  </v>
      </c>
      <c r="I3840" t="str">
        <f>"2018/12/01"</f>
        <v>2018/12/01</v>
      </c>
      <c r="J3840" t="str">
        <f>"420"</f>
        <v>420</v>
      </c>
      <c r="K3840" t="s">
        <v>18</v>
      </c>
      <c r="L3840" t="s">
        <v>18</v>
      </c>
      <c r="M3840" t="s">
        <v>18</v>
      </c>
    </row>
    <row r="3841" spans="1:13" x14ac:dyDescent="0.25">
      <c r="A3841" t="str">
        <f>"00905800"</f>
        <v>00905800</v>
      </c>
      <c r="B3841" t="s">
        <v>3209</v>
      </c>
      <c r="C3841" t="s">
        <v>906</v>
      </c>
      <c r="D3841" t="s">
        <v>107</v>
      </c>
      <c r="E3841" t="s">
        <v>16</v>
      </c>
      <c r="F3841" t="s">
        <v>17</v>
      </c>
      <c r="G3841" t="str">
        <f>"10"</f>
        <v>10</v>
      </c>
      <c r="H3841" t="str">
        <f>"0  "</f>
        <v xml:space="preserve">0  </v>
      </c>
      <c r="I3841" t="str">
        <f>"2019/05/05"</f>
        <v>2019/05/05</v>
      </c>
      <c r="J3841" t="str">
        <f>"420"</f>
        <v>420</v>
      </c>
      <c r="K3841" t="s">
        <v>18</v>
      </c>
      <c r="L3841" t="s">
        <v>18</v>
      </c>
      <c r="M3841" t="s">
        <v>18</v>
      </c>
    </row>
    <row r="3842" spans="1:13" x14ac:dyDescent="0.25">
      <c r="A3842" t="str">
        <f>"00792673"</f>
        <v>00792673</v>
      </c>
      <c r="B3842" t="s">
        <v>3216</v>
      </c>
      <c r="C3842" t="s">
        <v>74</v>
      </c>
      <c r="D3842" t="s">
        <v>25</v>
      </c>
      <c r="E3842" t="s">
        <v>26</v>
      </c>
      <c r="F3842" t="s">
        <v>17</v>
      </c>
      <c r="G3842" t="str">
        <f>"10"</f>
        <v>10</v>
      </c>
      <c r="H3842" t="str">
        <f>"0  "</f>
        <v xml:space="preserve">0  </v>
      </c>
      <c r="I3842" t="str">
        <f>"2020/08/04"</f>
        <v>2020/08/04</v>
      </c>
      <c r="J3842" t="str">
        <f>"420"</f>
        <v>420</v>
      </c>
      <c r="K3842" t="s">
        <v>18</v>
      </c>
      <c r="L3842" t="s">
        <v>18</v>
      </c>
      <c r="M3842" t="s">
        <v>18</v>
      </c>
    </row>
    <row r="3843" spans="1:13" x14ac:dyDescent="0.25">
      <c r="A3843" t="str">
        <f>"00463728"</f>
        <v>00463728</v>
      </c>
      <c r="B3843" t="s">
        <v>3219</v>
      </c>
      <c r="C3843" t="s">
        <v>14</v>
      </c>
      <c r="D3843" t="s">
        <v>40</v>
      </c>
      <c r="E3843" t="s">
        <v>16</v>
      </c>
      <c r="F3843" t="s">
        <v>17</v>
      </c>
      <c r="G3843" t="str">
        <f>"10"</f>
        <v>10</v>
      </c>
      <c r="H3843" t="str">
        <f>"3  "</f>
        <v xml:space="preserve">3  </v>
      </c>
      <c r="I3843" t="str">
        <f>"2016/06/14"</f>
        <v>2016/06/14</v>
      </c>
      <c r="J3843" t="str">
        <f>"110"</f>
        <v>110</v>
      </c>
      <c r="K3843" t="str">
        <f>"20220316"</f>
        <v>20220316</v>
      </c>
      <c r="L3843" t="s">
        <v>18</v>
      </c>
      <c r="M3843" t="str">
        <f>"20150720"</f>
        <v>20150720</v>
      </c>
    </row>
    <row r="3844" spans="1:13" x14ac:dyDescent="0.25">
      <c r="A3844" t="str">
        <f>"00916489"</f>
        <v>00916489</v>
      </c>
      <c r="B3844" t="s">
        <v>3221</v>
      </c>
      <c r="C3844" t="s">
        <v>3222</v>
      </c>
      <c r="D3844" t="s">
        <v>25</v>
      </c>
      <c r="E3844" t="s">
        <v>16</v>
      </c>
      <c r="F3844" t="s">
        <v>17</v>
      </c>
      <c r="G3844" t="str">
        <f>"10"</f>
        <v>10</v>
      </c>
      <c r="H3844" t="str">
        <f>"0  "</f>
        <v xml:space="preserve">0  </v>
      </c>
      <c r="I3844" t="str">
        <f>"2019/09/18"</f>
        <v>2019/09/18</v>
      </c>
      <c r="J3844" t="str">
        <f>"420"</f>
        <v>420</v>
      </c>
      <c r="K3844" t="s">
        <v>18</v>
      </c>
      <c r="L3844" t="s">
        <v>18</v>
      </c>
      <c r="M3844" t="s">
        <v>18</v>
      </c>
    </row>
    <row r="3845" spans="1:13" x14ac:dyDescent="0.25">
      <c r="A3845" t="str">
        <f>"00561910"</f>
        <v>00561910</v>
      </c>
      <c r="B3845" t="s">
        <v>3225</v>
      </c>
      <c r="C3845" t="s">
        <v>302</v>
      </c>
      <c r="D3845" t="s">
        <v>25</v>
      </c>
      <c r="E3845" t="s">
        <v>26</v>
      </c>
      <c r="F3845" t="s">
        <v>17</v>
      </c>
      <c r="G3845" t="str">
        <f>"10"</f>
        <v>10</v>
      </c>
      <c r="H3845" t="str">
        <f>"6  "</f>
        <v xml:space="preserve">6  </v>
      </c>
      <c r="I3845" t="str">
        <f>"2014/10/16"</f>
        <v>2014/10/16</v>
      </c>
      <c r="J3845" t="str">
        <f>"534"</f>
        <v>534</v>
      </c>
      <c r="K3845" t="str">
        <f>"20220301"</f>
        <v>20220301</v>
      </c>
      <c r="L3845" t="s">
        <v>18</v>
      </c>
      <c r="M3845" t="str">
        <f>"20120817"</f>
        <v>20120817</v>
      </c>
    </row>
    <row r="3846" spans="1:13" x14ac:dyDescent="0.25">
      <c r="A3846" t="str">
        <f>"00486746"</f>
        <v>00486746</v>
      </c>
      <c r="B3846" t="s">
        <v>3225</v>
      </c>
      <c r="C3846" t="s">
        <v>404</v>
      </c>
      <c r="D3846" t="s">
        <v>456</v>
      </c>
      <c r="E3846" t="s">
        <v>26</v>
      </c>
      <c r="F3846" t="s">
        <v>17</v>
      </c>
      <c r="G3846" t="str">
        <f>"10"</f>
        <v>10</v>
      </c>
      <c r="H3846" t="str">
        <f>"0  "</f>
        <v xml:space="preserve">0  </v>
      </c>
      <c r="I3846" t="str">
        <f>"2020/09/19"</f>
        <v>2020/09/19</v>
      </c>
      <c r="J3846" t="str">
        <f>"420"</f>
        <v>420</v>
      </c>
      <c r="K3846" t="s">
        <v>18</v>
      </c>
      <c r="L3846" t="s">
        <v>18</v>
      </c>
      <c r="M3846" t="s">
        <v>18</v>
      </c>
    </row>
    <row r="3847" spans="1:13" x14ac:dyDescent="0.25">
      <c r="A3847" t="str">
        <f>"00330200"</f>
        <v>00330200</v>
      </c>
      <c r="B3847" t="s">
        <v>3225</v>
      </c>
      <c r="C3847" t="s">
        <v>251</v>
      </c>
      <c r="D3847" t="s">
        <v>21</v>
      </c>
      <c r="E3847" t="s">
        <v>26</v>
      </c>
      <c r="F3847" t="s">
        <v>17</v>
      </c>
      <c r="G3847" t="str">
        <f>"10"</f>
        <v>10</v>
      </c>
      <c r="H3847" t="str">
        <f>"3  "</f>
        <v xml:space="preserve">3  </v>
      </c>
      <c r="I3847" t="str">
        <f>"2016/09/16"</f>
        <v>2016/09/16</v>
      </c>
      <c r="J3847" t="str">
        <f>"110"</f>
        <v>110</v>
      </c>
      <c r="K3847" t="str">
        <f>"20210722"</f>
        <v>20210722</v>
      </c>
      <c r="L3847" t="s">
        <v>18</v>
      </c>
      <c r="M3847" t="str">
        <f>"20160801"</f>
        <v>20160801</v>
      </c>
    </row>
    <row r="3848" spans="1:13" x14ac:dyDescent="0.25">
      <c r="A3848" t="str">
        <f>"00919410"</f>
        <v>00919410</v>
      </c>
      <c r="B3848" t="s">
        <v>3234</v>
      </c>
      <c r="C3848" t="s">
        <v>2341</v>
      </c>
      <c r="D3848" t="s">
        <v>182</v>
      </c>
      <c r="E3848" t="s">
        <v>16</v>
      </c>
      <c r="F3848" t="s">
        <v>17</v>
      </c>
      <c r="G3848" t="str">
        <f>"10"</f>
        <v>10</v>
      </c>
      <c r="H3848" t="str">
        <f>"0  "</f>
        <v xml:space="preserve">0  </v>
      </c>
      <c r="I3848" t="str">
        <f>"2019/10/29"</f>
        <v>2019/10/29</v>
      </c>
      <c r="J3848" t="str">
        <f>"420"</f>
        <v>420</v>
      </c>
      <c r="K3848" t="s">
        <v>18</v>
      </c>
      <c r="L3848" t="s">
        <v>18</v>
      </c>
      <c r="M3848" t="s">
        <v>18</v>
      </c>
    </row>
    <row r="3849" spans="1:13" x14ac:dyDescent="0.25">
      <c r="A3849" t="str">
        <f>"00184150"</f>
        <v>00184150</v>
      </c>
      <c r="B3849" t="s">
        <v>3241</v>
      </c>
      <c r="C3849" t="s">
        <v>833</v>
      </c>
      <c r="D3849" t="s">
        <v>61</v>
      </c>
      <c r="E3849" t="s">
        <v>16</v>
      </c>
      <c r="F3849" t="s">
        <v>17</v>
      </c>
      <c r="G3849" t="str">
        <f>"10"</f>
        <v>10</v>
      </c>
      <c r="H3849" t="str">
        <f>"0  "</f>
        <v xml:space="preserve">0  </v>
      </c>
      <c r="I3849" t="str">
        <f>"2020/07/20"</f>
        <v>2020/07/20</v>
      </c>
      <c r="J3849" t="str">
        <f>"420"</f>
        <v>420</v>
      </c>
      <c r="K3849" t="s">
        <v>18</v>
      </c>
      <c r="L3849" t="s">
        <v>18</v>
      </c>
      <c r="M3849" t="s">
        <v>18</v>
      </c>
    </row>
    <row r="3850" spans="1:13" x14ac:dyDescent="0.25">
      <c r="A3850" t="str">
        <f>"00338257"</f>
        <v>00338257</v>
      </c>
      <c r="B3850" t="s">
        <v>3242</v>
      </c>
      <c r="C3850" t="s">
        <v>136</v>
      </c>
      <c r="D3850" t="s">
        <v>51</v>
      </c>
      <c r="E3850" t="s">
        <v>26</v>
      </c>
      <c r="F3850" t="s">
        <v>17</v>
      </c>
      <c r="G3850" t="str">
        <f>"10"</f>
        <v>10</v>
      </c>
      <c r="H3850" t="str">
        <f>"0  "</f>
        <v xml:space="preserve">0  </v>
      </c>
      <c r="I3850" t="str">
        <f>"2020/09/05"</f>
        <v>2020/09/05</v>
      </c>
      <c r="J3850" t="str">
        <f>"420"</f>
        <v>420</v>
      </c>
      <c r="K3850" t="s">
        <v>18</v>
      </c>
      <c r="L3850" t="s">
        <v>18</v>
      </c>
      <c r="M3850" t="s">
        <v>18</v>
      </c>
    </row>
    <row r="3851" spans="1:13" x14ac:dyDescent="0.25">
      <c r="A3851" t="str">
        <f>"00680129"</f>
        <v>00680129</v>
      </c>
      <c r="B3851" t="s">
        <v>3247</v>
      </c>
      <c r="C3851" t="s">
        <v>3248</v>
      </c>
      <c r="D3851" t="s">
        <v>25</v>
      </c>
      <c r="E3851" t="s">
        <v>26</v>
      </c>
      <c r="F3851" t="s">
        <v>17</v>
      </c>
      <c r="G3851" t="str">
        <f>"10"</f>
        <v>10</v>
      </c>
      <c r="H3851" t="str">
        <f>"3  "</f>
        <v xml:space="preserve">3  </v>
      </c>
      <c r="I3851" t="str">
        <f>"2018/11/19"</f>
        <v>2018/11/19</v>
      </c>
      <c r="J3851" t="str">
        <f>"110"</f>
        <v>110</v>
      </c>
      <c r="K3851" t="str">
        <f>"20210107"</f>
        <v>20210107</v>
      </c>
      <c r="L3851" t="s">
        <v>18</v>
      </c>
      <c r="M3851" t="str">
        <f>"20180613"</f>
        <v>20180613</v>
      </c>
    </row>
    <row r="3852" spans="1:13" x14ac:dyDescent="0.25">
      <c r="A3852" t="str">
        <f>"00181053"</f>
        <v>00181053</v>
      </c>
      <c r="B3852" t="s">
        <v>3251</v>
      </c>
      <c r="C3852" t="s">
        <v>333</v>
      </c>
      <c r="D3852" t="s">
        <v>61</v>
      </c>
      <c r="E3852" t="s">
        <v>16</v>
      </c>
      <c r="F3852" t="s">
        <v>17</v>
      </c>
      <c r="G3852" t="str">
        <f>"10"</f>
        <v>10</v>
      </c>
      <c r="H3852" t="str">
        <f>"0  "</f>
        <v xml:space="preserve">0  </v>
      </c>
      <c r="I3852" t="str">
        <f>"2020/07/30"</f>
        <v>2020/07/30</v>
      </c>
      <c r="J3852" t="str">
        <f>"512"</f>
        <v>512</v>
      </c>
      <c r="K3852" t="s">
        <v>18</v>
      </c>
      <c r="L3852" t="s">
        <v>18</v>
      </c>
      <c r="M3852" t="s">
        <v>18</v>
      </c>
    </row>
    <row r="3853" spans="1:13" x14ac:dyDescent="0.25">
      <c r="A3853" t="str">
        <f>"00697143"</f>
        <v>00697143</v>
      </c>
      <c r="B3853" t="s">
        <v>3258</v>
      </c>
      <c r="C3853" t="s">
        <v>3259</v>
      </c>
      <c r="D3853" t="s">
        <v>40</v>
      </c>
      <c r="E3853" t="s">
        <v>26</v>
      </c>
      <c r="F3853" t="s">
        <v>17</v>
      </c>
      <c r="G3853" t="str">
        <f>"10"</f>
        <v>10</v>
      </c>
      <c r="H3853" t="str">
        <f>"0  "</f>
        <v xml:space="preserve">0  </v>
      </c>
      <c r="I3853" t="str">
        <f>"2020/09/25"</f>
        <v>2020/09/25</v>
      </c>
      <c r="J3853" t="str">
        <f>"420"</f>
        <v>420</v>
      </c>
      <c r="K3853" t="s">
        <v>18</v>
      </c>
      <c r="L3853" t="s">
        <v>18</v>
      </c>
      <c r="M3853" t="s">
        <v>18</v>
      </c>
    </row>
    <row r="3854" spans="1:13" x14ac:dyDescent="0.25">
      <c r="A3854" t="str">
        <f>"00677372"</f>
        <v>00677372</v>
      </c>
      <c r="B3854" t="s">
        <v>3261</v>
      </c>
      <c r="C3854" t="s">
        <v>3262</v>
      </c>
      <c r="D3854" t="s">
        <v>51</v>
      </c>
      <c r="E3854" t="s">
        <v>26</v>
      </c>
      <c r="F3854" t="s">
        <v>17</v>
      </c>
      <c r="G3854" t="str">
        <f>"10"</f>
        <v>10</v>
      </c>
      <c r="H3854" t="str">
        <f>"3  "</f>
        <v xml:space="preserve">3  </v>
      </c>
      <c r="I3854" t="str">
        <f>"2017/12/04"</f>
        <v>2017/12/04</v>
      </c>
      <c r="J3854" t="str">
        <f>"110"</f>
        <v>110</v>
      </c>
      <c r="K3854" t="str">
        <f>"20240118"</f>
        <v>20240118</v>
      </c>
      <c r="L3854" t="s">
        <v>18</v>
      </c>
      <c r="M3854" t="str">
        <f>"20170124"</f>
        <v>20170124</v>
      </c>
    </row>
    <row r="3855" spans="1:13" x14ac:dyDescent="0.25">
      <c r="A3855" t="str">
        <f>"00640276"</f>
        <v>00640276</v>
      </c>
      <c r="B3855" t="s">
        <v>3261</v>
      </c>
      <c r="C3855" t="s">
        <v>60</v>
      </c>
      <c r="D3855" t="s">
        <v>51</v>
      </c>
      <c r="E3855" t="s">
        <v>26</v>
      </c>
      <c r="F3855" t="s">
        <v>17</v>
      </c>
      <c r="G3855" t="str">
        <f>"10"</f>
        <v>10</v>
      </c>
      <c r="H3855" t="str">
        <f>"3  "</f>
        <v xml:space="preserve">3  </v>
      </c>
      <c r="I3855" t="str">
        <f>"2019/07/23"</f>
        <v>2019/07/23</v>
      </c>
      <c r="J3855" t="str">
        <f>"110"</f>
        <v>110</v>
      </c>
      <c r="K3855" t="str">
        <f>"20210409"</f>
        <v>20210409</v>
      </c>
      <c r="L3855" t="s">
        <v>18</v>
      </c>
      <c r="M3855" t="str">
        <f>"20190723"</f>
        <v>20190723</v>
      </c>
    </row>
    <row r="3856" spans="1:13" x14ac:dyDescent="0.25">
      <c r="A3856" t="str">
        <f>"00391662"</f>
        <v>00391662</v>
      </c>
      <c r="B3856" t="s">
        <v>3274</v>
      </c>
      <c r="C3856" t="s">
        <v>118</v>
      </c>
      <c r="D3856" t="s">
        <v>16</v>
      </c>
      <c r="E3856" t="s">
        <v>16</v>
      </c>
      <c r="F3856" t="s">
        <v>17</v>
      </c>
      <c r="G3856" t="str">
        <f>"10"</f>
        <v>10</v>
      </c>
      <c r="H3856" t="str">
        <f>"3  "</f>
        <v xml:space="preserve">3  </v>
      </c>
      <c r="I3856" t="str">
        <f>"2017/07/10"</f>
        <v>2017/07/10</v>
      </c>
      <c r="J3856" t="str">
        <f>"503"</f>
        <v>503</v>
      </c>
      <c r="K3856" t="str">
        <f>"20211114"</f>
        <v>20211114</v>
      </c>
      <c r="L3856" t="s">
        <v>18</v>
      </c>
      <c r="M3856" t="str">
        <f>"20160312"</f>
        <v>20160312</v>
      </c>
    </row>
    <row r="3857" spans="1:13" x14ac:dyDescent="0.25">
      <c r="A3857" t="str">
        <f>"00655824"</f>
        <v>00655824</v>
      </c>
      <c r="B3857" t="s">
        <v>3277</v>
      </c>
      <c r="C3857" t="s">
        <v>3130</v>
      </c>
      <c r="D3857" t="s">
        <v>15</v>
      </c>
      <c r="E3857" t="s">
        <v>26</v>
      </c>
      <c r="F3857" t="s">
        <v>17</v>
      </c>
      <c r="G3857" t="str">
        <f>"10"</f>
        <v>10</v>
      </c>
      <c r="H3857" t="str">
        <f>"0  "</f>
        <v xml:space="preserve">0  </v>
      </c>
      <c r="I3857" t="str">
        <f>"2019/09/21"</f>
        <v>2019/09/21</v>
      </c>
      <c r="J3857" t="str">
        <f>"420"</f>
        <v>420</v>
      </c>
      <c r="K3857" t="s">
        <v>18</v>
      </c>
      <c r="L3857" t="s">
        <v>18</v>
      </c>
      <c r="M3857" t="s">
        <v>18</v>
      </c>
    </row>
    <row r="3858" spans="1:13" x14ac:dyDescent="0.25">
      <c r="A3858" t="str">
        <f>"00604029"</f>
        <v>00604029</v>
      </c>
      <c r="B3858" t="s">
        <v>3281</v>
      </c>
      <c r="C3858" t="s">
        <v>3282</v>
      </c>
      <c r="D3858" t="s">
        <v>15</v>
      </c>
      <c r="E3858" t="s">
        <v>26</v>
      </c>
      <c r="F3858" t="s">
        <v>17</v>
      </c>
      <c r="G3858" t="str">
        <f>"10"</f>
        <v>10</v>
      </c>
      <c r="H3858" t="str">
        <f>"3  "</f>
        <v xml:space="preserve">3  </v>
      </c>
      <c r="I3858" t="str">
        <f>"2019/11/05"</f>
        <v>2019/11/05</v>
      </c>
      <c r="J3858" t="str">
        <f>"534"</f>
        <v>534</v>
      </c>
      <c r="K3858" t="str">
        <f>"20210930"</f>
        <v>20210930</v>
      </c>
      <c r="L3858" t="s">
        <v>18</v>
      </c>
      <c r="M3858" t="str">
        <f>"20170519"</f>
        <v>20170519</v>
      </c>
    </row>
    <row r="3859" spans="1:13" x14ac:dyDescent="0.25">
      <c r="A3859" t="str">
        <f>"00709595"</f>
        <v>00709595</v>
      </c>
      <c r="B3859" t="s">
        <v>3287</v>
      </c>
      <c r="C3859" t="s">
        <v>613</v>
      </c>
      <c r="D3859" t="s">
        <v>51</v>
      </c>
      <c r="E3859" t="s">
        <v>26</v>
      </c>
      <c r="F3859" t="s">
        <v>17</v>
      </c>
      <c r="G3859" t="str">
        <f>"10"</f>
        <v>10</v>
      </c>
      <c r="H3859" t="str">
        <f>"0  "</f>
        <v xml:space="preserve">0  </v>
      </c>
      <c r="I3859" t="str">
        <f>"2020/09/19"</f>
        <v>2020/09/19</v>
      </c>
      <c r="J3859" t="str">
        <f>"420"</f>
        <v>420</v>
      </c>
      <c r="K3859" t="s">
        <v>18</v>
      </c>
      <c r="L3859" t="s">
        <v>18</v>
      </c>
      <c r="M3859" t="s">
        <v>18</v>
      </c>
    </row>
    <row r="3860" spans="1:13" x14ac:dyDescent="0.25">
      <c r="A3860" t="str">
        <f>"00163063"</f>
        <v>00163063</v>
      </c>
      <c r="B3860" t="s">
        <v>3299</v>
      </c>
      <c r="C3860" t="s">
        <v>1309</v>
      </c>
      <c r="D3860" t="s">
        <v>182</v>
      </c>
      <c r="E3860" t="s">
        <v>26</v>
      </c>
      <c r="F3860" t="s">
        <v>17</v>
      </c>
      <c r="G3860" t="str">
        <f>"10"</f>
        <v>10</v>
      </c>
      <c r="H3860" t="str">
        <f>"0  "</f>
        <v xml:space="preserve">0  </v>
      </c>
      <c r="I3860" t="str">
        <f>"2020/08/06"</f>
        <v>2020/08/06</v>
      </c>
      <c r="J3860" t="str">
        <f>"512"</f>
        <v>512</v>
      </c>
      <c r="K3860" t="s">
        <v>18</v>
      </c>
      <c r="L3860" t="s">
        <v>18</v>
      </c>
      <c r="M3860" t="s">
        <v>18</v>
      </c>
    </row>
    <row r="3861" spans="1:13" x14ac:dyDescent="0.25">
      <c r="A3861" t="str">
        <f>"00219976"</f>
        <v>00219976</v>
      </c>
      <c r="B3861" t="s">
        <v>3299</v>
      </c>
      <c r="C3861" t="s">
        <v>1854</v>
      </c>
      <c r="D3861" t="s">
        <v>51</v>
      </c>
      <c r="E3861" t="s">
        <v>26</v>
      </c>
      <c r="F3861" t="s">
        <v>17</v>
      </c>
      <c r="G3861" t="str">
        <f>"10"</f>
        <v>10</v>
      </c>
      <c r="H3861" t="str">
        <f>"3  "</f>
        <v xml:space="preserve">3  </v>
      </c>
      <c r="I3861" t="str">
        <f>"2020/02/24"</f>
        <v>2020/02/24</v>
      </c>
      <c r="J3861" t="str">
        <f>"110"</f>
        <v>110</v>
      </c>
      <c r="K3861" t="str">
        <f>"20220129"</f>
        <v>20220129</v>
      </c>
      <c r="L3861" t="s">
        <v>18</v>
      </c>
      <c r="M3861" t="str">
        <f>"20190521"</f>
        <v>20190521</v>
      </c>
    </row>
    <row r="3862" spans="1:13" x14ac:dyDescent="0.25">
      <c r="A3862" t="str">
        <f>"00815209"</f>
        <v>00815209</v>
      </c>
      <c r="B3862" t="s">
        <v>3302</v>
      </c>
      <c r="C3862" t="s">
        <v>3303</v>
      </c>
      <c r="D3862" t="s">
        <v>37</v>
      </c>
      <c r="E3862" t="s">
        <v>26</v>
      </c>
      <c r="F3862" t="s">
        <v>17</v>
      </c>
      <c r="G3862" t="str">
        <f>"10"</f>
        <v>10</v>
      </c>
      <c r="H3862" t="str">
        <f>"3  "</f>
        <v xml:space="preserve">3  </v>
      </c>
      <c r="I3862" t="str">
        <f>"2019/10/25"</f>
        <v>2019/10/25</v>
      </c>
      <c r="J3862" t="str">
        <f>"503"</f>
        <v>503</v>
      </c>
      <c r="K3862" t="str">
        <f>"20220213"</f>
        <v>20220213</v>
      </c>
      <c r="L3862" t="s">
        <v>18</v>
      </c>
      <c r="M3862" t="str">
        <f>"20171010"</f>
        <v>20171010</v>
      </c>
    </row>
    <row r="3863" spans="1:13" x14ac:dyDescent="0.25">
      <c r="A3863" t="str">
        <f>"00688310"</f>
        <v>00688310</v>
      </c>
      <c r="B3863" t="s">
        <v>3302</v>
      </c>
      <c r="C3863" t="s">
        <v>1619</v>
      </c>
      <c r="D3863" t="s">
        <v>21</v>
      </c>
      <c r="E3863" t="s">
        <v>26</v>
      </c>
      <c r="F3863" t="s">
        <v>17</v>
      </c>
      <c r="G3863" t="str">
        <f>"10"</f>
        <v>10</v>
      </c>
      <c r="H3863" t="str">
        <f>"3  "</f>
        <v xml:space="preserve">3  </v>
      </c>
      <c r="I3863" t="str">
        <f>"2018/08/24"</f>
        <v>2018/08/24</v>
      </c>
      <c r="J3863" t="str">
        <f>"110"</f>
        <v>110</v>
      </c>
      <c r="K3863" t="str">
        <f>"20210317"</f>
        <v>20210317</v>
      </c>
      <c r="L3863" t="s">
        <v>18</v>
      </c>
      <c r="M3863" t="str">
        <f>"20170921"</f>
        <v>20170921</v>
      </c>
    </row>
    <row r="3864" spans="1:13" x14ac:dyDescent="0.25">
      <c r="A3864" t="str">
        <f>"00816011"</f>
        <v>00816011</v>
      </c>
      <c r="B3864" t="s">
        <v>3304</v>
      </c>
      <c r="C3864" t="s">
        <v>815</v>
      </c>
      <c r="D3864" t="s">
        <v>37</v>
      </c>
      <c r="E3864" t="s">
        <v>26</v>
      </c>
      <c r="F3864" t="s">
        <v>17</v>
      </c>
      <c r="G3864" t="str">
        <f>"10"</f>
        <v>10</v>
      </c>
      <c r="H3864" t="str">
        <f>"3  "</f>
        <v xml:space="preserve">3  </v>
      </c>
      <c r="I3864" t="str">
        <f>"2018/09/10"</f>
        <v>2018/09/10</v>
      </c>
      <c r="J3864" t="str">
        <f>"110"</f>
        <v>110</v>
      </c>
      <c r="K3864" t="str">
        <f>"20221022"</f>
        <v>20221022</v>
      </c>
      <c r="L3864" t="s">
        <v>18</v>
      </c>
      <c r="M3864" t="str">
        <f>"20170730"</f>
        <v>20170730</v>
      </c>
    </row>
    <row r="3865" spans="1:13" x14ac:dyDescent="0.25">
      <c r="A3865" t="str">
        <f>"00472473"</f>
        <v>00472473</v>
      </c>
      <c r="B3865" t="s">
        <v>3304</v>
      </c>
      <c r="C3865" t="s">
        <v>66</v>
      </c>
      <c r="D3865" t="s">
        <v>51</v>
      </c>
      <c r="E3865" t="s">
        <v>16</v>
      </c>
      <c r="F3865" t="s">
        <v>17</v>
      </c>
      <c r="G3865" t="str">
        <f>"10"</f>
        <v>10</v>
      </c>
      <c r="H3865" t="str">
        <f>"0  "</f>
        <v xml:space="preserve">0  </v>
      </c>
      <c r="I3865" t="str">
        <f>"2020/01/01"</f>
        <v>2020/01/01</v>
      </c>
      <c r="J3865" t="str">
        <f>"420"</f>
        <v>420</v>
      </c>
      <c r="K3865" t="s">
        <v>18</v>
      </c>
      <c r="L3865" t="s">
        <v>18</v>
      </c>
      <c r="M3865" t="s">
        <v>18</v>
      </c>
    </row>
    <row r="3866" spans="1:13" x14ac:dyDescent="0.25">
      <c r="A3866" t="str">
        <f>"00426477"</f>
        <v>00426477</v>
      </c>
      <c r="B3866" t="s">
        <v>3307</v>
      </c>
      <c r="C3866" t="s">
        <v>3309</v>
      </c>
      <c r="D3866" t="s">
        <v>40</v>
      </c>
      <c r="E3866" t="s">
        <v>26</v>
      </c>
      <c r="F3866" t="s">
        <v>17</v>
      </c>
      <c r="G3866" t="str">
        <f>"10"</f>
        <v>10</v>
      </c>
      <c r="H3866" t="str">
        <f>"3  "</f>
        <v xml:space="preserve">3  </v>
      </c>
      <c r="I3866" t="str">
        <f>"2020/05/16"</f>
        <v>2020/05/16</v>
      </c>
      <c r="J3866" t="str">
        <f>"504"</f>
        <v>504</v>
      </c>
      <c r="K3866" t="str">
        <f>"20201115"</f>
        <v>20201115</v>
      </c>
      <c r="L3866" t="s">
        <v>18</v>
      </c>
      <c r="M3866" t="str">
        <f>"20190317"</f>
        <v>20190317</v>
      </c>
    </row>
    <row r="3867" spans="1:13" x14ac:dyDescent="0.25">
      <c r="A3867" t="str">
        <f>"00878434"</f>
        <v>00878434</v>
      </c>
      <c r="B3867" t="s">
        <v>3312</v>
      </c>
      <c r="C3867" t="s">
        <v>3313</v>
      </c>
      <c r="D3867" t="s">
        <v>25</v>
      </c>
      <c r="E3867" t="s">
        <v>16</v>
      </c>
      <c r="F3867" t="s">
        <v>17</v>
      </c>
      <c r="G3867" t="str">
        <f>"10"</f>
        <v>10</v>
      </c>
      <c r="H3867" t="str">
        <f>"3  "</f>
        <v xml:space="preserve">3  </v>
      </c>
      <c r="I3867" t="str">
        <f>"2019/06/11"</f>
        <v>2019/06/11</v>
      </c>
      <c r="J3867" t="str">
        <f>"110"</f>
        <v>110</v>
      </c>
      <c r="K3867" t="str">
        <f>"20220824"</f>
        <v>20220824</v>
      </c>
      <c r="L3867" t="s">
        <v>18</v>
      </c>
      <c r="M3867" t="str">
        <f>"20190225"</f>
        <v>20190225</v>
      </c>
    </row>
    <row r="3868" spans="1:13" x14ac:dyDescent="0.25">
      <c r="A3868" t="str">
        <f>"00766298"</f>
        <v>00766298</v>
      </c>
      <c r="B3868" t="s">
        <v>3317</v>
      </c>
      <c r="C3868" t="s">
        <v>2700</v>
      </c>
      <c r="D3868" t="s">
        <v>45</v>
      </c>
      <c r="E3868" t="s">
        <v>16</v>
      </c>
      <c r="F3868" t="s">
        <v>17</v>
      </c>
      <c r="G3868" t="str">
        <f>"10"</f>
        <v>10</v>
      </c>
      <c r="H3868" t="str">
        <f>"0  "</f>
        <v xml:space="preserve">0  </v>
      </c>
      <c r="I3868" t="str">
        <f>"2020/05/13"</f>
        <v>2020/05/13</v>
      </c>
      <c r="J3868" t="str">
        <f>"420"</f>
        <v>420</v>
      </c>
      <c r="K3868" t="s">
        <v>18</v>
      </c>
      <c r="L3868" t="s">
        <v>18</v>
      </c>
      <c r="M3868" t="s">
        <v>18</v>
      </c>
    </row>
    <row r="3869" spans="1:13" x14ac:dyDescent="0.25">
      <c r="A3869" t="str">
        <f>"00506934"</f>
        <v>00506934</v>
      </c>
      <c r="B3869" t="s">
        <v>3319</v>
      </c>
      <c r="C3869" t="s">
        <v>1828</v>
      </c>
      <c r="D3869" t="s">
        <v>215</v>
      </c>
      <c r="E3869" t="s">
        <v>26</v>
      </c>
      <c r="F3869" t="s">
        <v>17</v>
      </c>
      <c r="G3869" t="str">
        <f>"10"</f>
        <v>10</v>
      </c>
      <c r="H3869" t="str">
        <f>"0  "</f>
        <v xml:space="preserve">0  </v>
      </c>
      <c r="I3869" t="str">
        <f>"2020/08/31"</f>
        <v>2020/08/31</v>
      </c>
      <c r="J3869" t="str">
        <f>"420"</f>
        <v>420</v>
      </c>
      <c r="K3869" t="s">
        <v>18</v>
      </c>
      <c r="L3869" t="s">
        <v>18</v>
      </c>
      <c r="M3869" t="s">
        <v>18</v>
      </c>
    </row>
    <row r="3870" spans="1:13" x14ac:dyDescent="0.25">
      <c r="A3870" t="str">
        <f>"00614271"</f>
        <v>00614271</v>
      </c>
      <c r="B3870" t="s">
        <v>3323</v>
      </c>
      <c r="C3870" t="s">
        <v>96</v>
      </c>
      <c r="D3870" t="s">
        <v>15</v>
      </c>
      <c r="E3870" t="s">
        <v>26</v>
      </c>
      <c r="F3870" t="s">
        <v>17</v>
      </c>
      <c r="G3870" t="str">
        <f>"10"</f>
        <v>10</v>
      </c>
      <c r="H3870" t="str">
        <f>"0  "</f>
        <v xml:space="preserve">0  </v>
      </c>
      <c r="I3870" t="str">
        <f>"2020/07/21"</f>
        <v>2020/07/21</v>
      </c>
      <c r="J3870" t="str">
        <f>"512"</f>
        <v>512</v>
      </c>
      <c r="K3870" t="s">
        <v>18</v>
      </c>
      <c r="L3870" t="s">
        <v>18</v>
      </c>
      <c r="M3870" t="s">
        <v>18</v>
      </c>
    </row>
    <row r="3871" spans="1:13" x14ac:dyDescent="0.25">
      <c r="A3871" t="str">
        <f>"00546643"</f>
        <v>00546643</v>
      </c>
      <c r="B3871" t="s">
        <v>3325</v>
      </c>
      <c r="C3871" t="s">
        <v>36</v>
      </c>
      <c r="D3871" t="s">
        <v>51</v>
      </c>
      <c r="E3871" t="s">
        <v>16</v>
      </c>
      <c r="F3871" t="s">
        <v>17</v>
      </c>
      <c r="G3871" t="str">
        <f>"10"</f>
        <v>10</v>
      </c>
      <c r="H3871" t="str">
        <f>"0  "</f>
        <v xml:space="preserve">0  </v>
      </c>
      <c r="I3871" t="str">
        <f>"2020/07/13"</f>
        <v>2020/07/13</v>
      </c>
      <c r="J3871" t="str">
        <f>"420"</f>
        <v>420</v>
      </c>
      <c r="K3871" t="s">
        <v>18</v>
      </c>
      <c r="L3871" t="s">
        <v>18</v>
      </c>
      <c r="M3871" t="s">
        <v>18</v>
      </c>
    </row>
    <row r="3872" spans="1:13" x14ac:dyDescent="0.25">
      <c r="A3872" t="str">
        <f>"00561335"</f>
        <v>00561335</v>
      </c>
      <c r="B3872" t="s">
        <v>3326</v>
      </c>
      <c r="C3872" t="s">
        <v>731</v>
      </c>
      <c r="D3872" t="s">
        <v>25</v>
      </c>
      <c r="E3872" t="s">
        <v>26</v>
      </c>
      <c r="F3872" t="s">
        <v>17</v>
      </c>
      <c r="G3872" t="str">
        <f>"10"</f>
        <v>10</v>
      </c>
      <c r="H3872" t="str">
        <f>"3  "</f>
        <v xml:space="preserve">3  </v>
      </c>
      <c r="I3872" t="str">
        <f>"2019/04/12"</f>
        <v>2019/04/12</v>
      </c>
      <c r="J3872" t="str">
        <f>"120"</f>
        <v>120</v>
      </c>
      <c r="K3872" t="str">
        <f>"20230228"</f>
        <v>20230228</v>
      </c>
      <c r="L3872" t="s">
        <v>18</v>
      </c>
      <c r="M3872" t="str">
        <f>"20180717"</f>
        <v>20180717</v>
      </c>
    </row>
    <row r="3873" spans="1:13" x14ac:dyDescent="0.25">
      <c r="A3873" t="str">
        <f>"00502437"</f>
        <v>00502437</v>
      </c>
      <c r="B3873" t="s">
        <v>3330</v>
      </c>
      <c r="C3873" t="s">
        <v>74</v>
      </c>
      <c r="D3873" t="s">
        <v>51</v>
      </c>
      <c r="E3873" t="s">
        <v>26</v>
      </c>
      <c r="F3873" t="s">
        <v>17</v>
      </c>
      <c r="G3873" t="str">
        <f>"10"</f>
        <v>10</v>
      </c>
      <c r="H3873" t="str">
        <f>"0  "</f>
        <v xml:space="preserve">0  </v>
      </c>
      <c r="I3873" t="str">
        <f>"2019/07/07"</f>
        <v>2019/07/07</v>
      </c>
      <c r="J3873" t="str">
        <f>"420"</f>
        <v>420</v>
      </c>
      <c r="K3873" t="s">
        <v>18</v>
      </c>
      <c r="L3873" t="s">
        <v>18</v>
      </c>
      <c r="M3873" t="s">
        <v>18</v>
      </c>
    </row>
    <row r="3874" spans="1:13" x14ac:dyDescent="0.25">
      <c r="A3874" t="str">
        <f>"00725238"</f>
        <v>00725238</v>
      </c>
      <c r="B3874" t="s">
        <v>3331</v>
      </c>
      <c r="C3874" t="s">
        <v>3332</v>
      </c>
      <c r="D3874" t="s">
        <v>25</v>
      </c>
      <c r="E3874" t="s">
        <v>26</v>
      </c>
      <c r="F3874" t="s">
        <v>17</v>
      </c>
      <c r="G3874" t="str">
        <f>"10"</f>
        <v>10</v>
      </c>
      <c r="H3874" t="str">
        <f>"3  "</f>
        <v xml:space="preserve">3  </v>
      </c>
      <c r="I3874" t="str">
        <f>"2020/07/30"</f>
        <v>2020/07/30</v>
      </c>
      <c r="J3874" t="str">
        <f>"110"</f>
        <v>110</v>
      </c>
      <c r="K3874" t="str">
        <f>"20220713"</f>
        <v>20220713</v>
      </c>
      <c r="L3874" t="s">
        <v>18</v>
      </c>
      <c r="M3874" t="str">
        <f>"20191018"</f>
        <v>20191018</v>
      </c>
    </row>
    <row r="3875" spans="1:13" x14ac:dyDescent="0.25">
      <c r="A3875" t="str">
        <f>"00143901"</f>
        <v>00143901</v>
      </c>
      <c r="B3875" t="s">
        <v>3334</v>
      </c>
      <c r="C3875" t="s">
        <v>488</v>
      </c>
      <c r="D3875" t="s">
        <v>182</v>
      </c>
      <c r="E3875" t="s">
        <v>26</v>
      </c>
      <c r="F3875" t="s">
        <v>17</v>
      </c>
      <c r="G3875" t="str">
        <f>"10"</f>
        <v>10</v>
      </c>
      <c r="H3875" t="str">
        <f>"0  "</f>
        <v xml:space="preserve">0  </v>
      </c>
      <c r="I3875" t="str">
        <f>"2020/07/31"</f>
        <v>2020/07/31</v>
      </c>
      <c r="J3875" t="str">
        <f>"512"</f>
        <v>512</v>
      </c>
      <c r="K3875" t="s">
        <v>18</v>
      </c>
      <c r="L3875" t="s">
        <v>18</v>
      </c>
      <c r="M3875" t="s">
        <v>18</v>
      </c>
    </row>
    <row r="3876" spans="1:13" x14ac:dyDescent="0.25">
      <c r="A3876" t="str">
        <f>"00350700"</f>
        <v>00350700</v>
      </c>
      <c r="B3876" t="s">
        <v>3336</v>
      </c>
      <c r="C3876" t="s">
        <v>526</v>
      </c>
      <c r="D3876" t="s">
        <v>53</v>
      </c>
      <c r="E3876" t="s">
        <v>16</v>
      </c>
      <c r="F3876" t="s">
        <v>17</v>
      </c>
      <c r="G3876" t="str">
        <f>"10"</f>
        <v>10</v>
      </c>
      <c r="H3876" t="str">
        <f>"3  "</f>
        <v xml:space="preserve">3  </v>
      </c>
      <c r="I3876" t="str">
        <f>"2020/08/07"</f>
        <v>2020/08/07</v>
      </c>
      <c r="J3876" t="str">
        <f>"110"</f>
        <v>110</v>
      </c>
      <c r="K3876" t="str">
        <f>"20230210"</f>
        <v>20230210</v>
      </c>
      <c r="L3876" t="s">
        <v>18</v>
      </c>
      <c r="M3876" t="str">
        <f>"20191206"</f>
        <v>20191206</v>
      </c>
    </row>
    <row r="3877" spans="1:13" x14ac:dyDescent="0.25">
      <c r="A3877" t="str">
        <f>"00715021"</f>
        <v>00715021</v>
      </c>
      <c r="B3877" t="s">
        <v>3338</v>
      </c>
      <c r="C3877" t="s">
        <v>136</v>
      </c>
      <c r="D3877" t="s">
        <v>15</v>
      </c>
      <c r="E3877" t="s">
        <v>16</v>
      </c>
      <c r="F3877" t="s">
        <v>17</v>
      </c>
      <c r="G3877" t="str">
        <f>"10"</f>
        <v>10</v>
      </c>
      <c r="H3877" t="str">
        <f>"0  "</f>
        <v xml:space="preserve">0  </v>
      </c>
      <c r="I3877" t="str">
        <f>"2020/05/07"</f>
        <v>2020/05/07</v>
      </c>
      <c r="J3877" t="str">
        <f>"420"</f>
        <v>420</v>
      </c>
      <c r="K3877" t="s">
        <v>18</v>
      </c>
      <c r="L3877" t="s">
        <v>18</v>
      </c>
      <c r="M3877" t="s">
        <v>18</v>
      </c>
    </row>
    <row r="3878" spans="1:13" x14ac:dyDescent="0.25">
      <c r="A3878" t="str">
        <f>"00637884"</f>
        <v>00637884</v>
      </c>
      <c r="B3878" t="s">
        <v>3339</v>
      </c>
      <c r="C3878" t="s">
        <v>3340</v>
      </c>
      <c r="D3878" t="s">
        <v>40</v>
      </c>
      <c r="E3878" t="s">
        <v>16</v>
      </c>
      <c r="F3878" t="s">
        <v>17</v>
      </c>
      <c r="G3878" t="str">
        <f>"10"</f>
        <v>10</v>
      </c>
      <c r="H3878" t="str">
        <f>"3  "</f>
        <v xml:space="preserve">3  </v>
      </c>
      <c r="I3878" t="str">
        <f>"2019/10/25"</f>
        <v>2019/10/25</v>
      </c>
      <c r="J3878" t="str">
        <f>"120"</f>
        <v>120</v>
      </c>
      <c r="K3878" t="str">
        <f>"20210720"</f>
        <v>20210720</v>
      </c>
      <c r="L3878" t="s">
        <v>18</v>
      </c>
      <c r="M3878" t="str">
        <f>"20180621"</f>
        <v>20180621</v>
      </c>
    </row>
    <row r="3879" spans="1:13" x14ac:dyDescent="0.25">
      <c r="A3879" t="str">
        <f>"00381486"</f>
        <v>00381486</v>
      </c>
      <c r="B3879" t="s">
        <v>3342</v>
      </c>
      <c r="C3879" t="s">
        <v>738</v>
      </c>
      <c r="D3879" t="s">
        <v>61</v>
      </c>
      <c r="E3879" t="s">
        <v>16</v>
      </c>
      <c r="F3879" t="s">
        <v>17</v>
      </c>
      <c r="G3879" t="str">
        <f>"10"</f>
        <v>10</v>
      </c>
      <c r="H3879" t="str">
        <f>"0  "</f>
        <v xml:space="preserve">0  </v>
      </c>
      <c r="I3879" t="str">
        <f>"2020/08/07"</f>
        <v>2020/08/07</v>
      </c>
      <c r="J3879" t="str">
        <f>"420"</f>
        <v>420</v>
      </c>
      <c r="K3879" t="s">
        <v>18</v>
      </c>
      <c r="L3879" t="s">
        <v>18</v>
      </c>
      <c r="M3879" t="s">
        <v>18</v>
      </c>
    </row>
    <row r="3880" spans="1:13" x14ac:dyDescent="0.25">
      <c r="A3880" t="str">
        <f>"00927881"</f>
        <v>00927881</v>
      </c>
      <c r="B3880" t="s">
        <v>3345</v>
      </c>
      <c r="C3880" t="s">
        <v>426</v>
      </c>
      <c r="D3880" t="s">
        <v>15</v>
      </c>
      <c r="E3880" t="s">
        <v>26</v>
      </c>
      <c r="F3880" t="s">
        <v>17</v>
      </c>
      <c r="G3880" t="str">
        <f>"10"</f>
        <v>10</v>
      </c>
      <c r="H3880" t="str">
        <f>"0  "</f>
        <v xml:space="preserve">0  </v>
      </c>
      <c r="I3880" t="str">
        <f>"2020/08/28"</f>
        <v>2020/08/28</v>
      </c>
      <c r="J3880" t="str">
        <f>"420"</f>
        <v>420</v>
      </c>
      <c r="K3880" t="s">
        <v>18</v>
      </c>
      <c r="L3880" t="s">
        <v>18</v>
      </c>
      <c r="M3880" t="s">
        <v>18</v>
      </c>
    </row>
    <row r="3881" spans="1:13" x14ac:dyDescent="0.25">
      <c r="A3881" t="str">
        <f>"00713568"</f>
        <v>00713568</v>
      </c>
      <c r="B3881" t="s">
        <v>3345</v>
      </c>
      <c r="C3881" t="s">
        <v>3348</v>
      </c>
      <c r="D3881" t="s">
        <v>21</v>
      </c>
      <c r="E3881" t="s">
        <v>26</v>
      </c>
      <c r="F3881" t="s">
        <v>17</v>
      </c>
      <c r="G3881" t="str">
        <f>"10"</f>
        <v>10</v>
      </c>
      <c r="H3881" t="str">
        <f>"3  "</f>
        <v xml:space="preserve">3  </v>
      </c>
      <c r="I3881" t="str">
        <f>"2019/06/21"</f>
        <v>2019/06/21</v>
      </c>
      <c r="J3881" t="str">
        <f>"110"</f>
        <v>110</v>
      </c>
      <c r="K3881" t="str">
        <f>"20260725"</f>
        <v>20260725</v>
      </c>
      <c r="L3881" t="s">
        <v>18</v>
      </c>
      <c r="M3881" t="str">
        <f>"20180719"</f>
        <v>20180719</v>
      </c>
    </row>
    <row r="3882" spans="1:13" x14ac:dyDescent="0.25">
      <c r="A3882" t="str">
        <f>"00560498"</f>
        <v>00560498</v>
      </c>
      <c r="B3882" t="s">
        <v>3345</v>
      </c>
      <c r="C3882" t="s">
        <v>1250</v>
      </c>
      <c r="D3882" t="s">
        <v>45</v>
      </c>
      <c r="E3882" t="s">
        <v>26</v>
      </c>
      <c r="F3882" t="s">
        <v>17</v>
      </c>
      <c r="G3882" t="str">
        <f>"10"</f>
        <v>10</v>
      </c>
      <c r="H3882" t="str">
        <f>"3  "</f>
        <v xml:space="preserve">3  </v>
      </c>
      <c r="I3882" t="str">
        <f>"2020/09/16"</f>
        <v>2020/09/16</v>
      </c>
      <c r="J3882" t="str">
        <f>"502"</f>
        <v>502</v>
      </c>
      <c r="K3882" t="str">
        <f>"20210818"</f>
        <v>20210818</v>
      </c>
      <c r="L3882" t="s">
        <v>18</v>
      </c>
      <c r="M3882" t="str">
        <f>"20150109"</f>
        <v>20150109</v>
      </c>
    </row>
    <row r="3883" spans="1:13" x14ac:dyDescent="0.25">
      <c r="A3883" t="str">
        <f>"00245769"</f>
        <v>00245769</v>
      </c>
      <c r="B3883" t="s">
        <v>3345</v>
      </c>
      <c r="C3883" t="s">
        <v>626</v>
      </c>
      <c r="D3883" t="s">
        <v>121</v>
      </c>
      <c r="E3883" t="s">
        <v>26</v>
      </c>
      <c r="F3883" t="s">
        <v>17</v>
      </c>
      <c r="G3883" t="str">
        <f>"10"</f>
        <v>10</v>
      </c>
      <c r="H3883" t="str">
        <f>"1  "</f>
        <v xml:space="preserve">1  </v>
      </c>
      <c r="I3883" t="str">
        <f>"2020/08/14"</f>
        <v>2020/08/14</v>
      </c>
      <c r="J3883" t="str">
        <f>"110"</f>
        <v>110</v>
      </c>
      <c r="K3883" t="str">
        <f>"20201006"</f>
        <v>20201006</v>
      </c>
      <c r="L3883" t="s">
        <v>18</v>
      </c>
      <c r="M3883" t="str">
        <f>"20200715"</f>
        <v>20200715</v>
      </c>
    </row>
    <row r="3884" spans="1:13" x14ac:dyDescent="0.25">
      <c r="A3884" t="str">
        <f>"00449414"</f>
        <v>00449414</v>
      </c>
      <c r="B3884" t="s">
        <v>3345</v>
      </c>
      <c r="C3884" t="s">
        <v>3349</v>
      </c>
      <c r="D3884" t="s">
        <v>61</v>
      </c>
      <c r="E3884" t="s">
        <v>26</v>
      </c>
      <c r="F3884" t="s">
        <v>17</v>
      </c>
      <c r="G3884" t="str">
        <f>"10"</f>
        <v>10</v>
      </c>
      <c r="H3884" t="str">
        <f>"3  "</f>
        <v xml:space="preserve">3  </v>
      </c>
      <c r="I3884" t="str">
        <f>"2017/12/01"</f>
        <v>2017/12/01</v>
      </c>
      <c r="J3884" t="str">
        <f>"110"</f>
        <v>110</v>
      </c>
      <c r="K3884" t="str">
        <f>"20210719"</f>
        <v>20210719</v>
      </c>
      <c r="L3884" t="s">
        <v>18</v>
      </c>
      <c r="M3884" t="str">
        <f>"20170413"</f>
        <v>20170413</v>
      </c>
    </row>
    <row r="3885" spans="1:13" x14ac:dyDescent="0.25">
      <c r="A3885" t="str">
        <f>"00658782"</f>
        <v>00658782</v>
      </c>
      <c r="B3885" t="s">
        <v>3345</v>
      </c>
      <c r="C3885" t="s">
        <v>1326</v>
      </c>
      <c r="D3885" t="s">
        <v>21</v>
      </c>
      <c r="E3885" t="s">
        <v>26</v>
      </c>
      <c r="F3885" t="s">
        <v>17</v>
      </c>
      <c r="G3885" t="str">
        <f>"10"</f>
        <v>10</v>
      </c>
      <c r="H3885" t="str">
        <f>"0  "</f>
        <v xml:space="preserve">0  </v>
      </c>
      <c r="I3885" t="str">
        <f>"2018/04/24"</f>
        <v>2018/04/24</v>
      </c>
      <c r="J3885" t="str">
        <f>"420"</f>
        <v>420</v>
      </c>
      <c r="K3885" t="s">
        <v>18</v>
      </c>
      <c r="L3885" t="s">
        <v>18</v>
      </c>
      <c r="M3885" t="s">
        <v>18</v>
      </c>
    </row>
    <row r="3886" spans="1:13" x14ac:dyDescent="0.25">
      <c r="A3886" t="str">
        <f>"00525857"</f>
        <v>00525857</v>
      </c>
      <c r="B3886" t="s">
        <v>3345</v>
      </c>
      <c r="C3886" t="s">
        <v>3350</v>
      </c>
      <c r="D3886" t="s">
        <v>15</v>
      </c>
      <c r="E3886" t="s">
        <v>26</v>
      </c>
      <c r="F3886" t="s">
        <v>17</v>
      </c>
      <c r="G3886" t="str">
        <f>"10"</f>
        <v>10</v>
      </c>
      <c r="H3886" t="str">
        <f>"3  "</f>
        <v xml:space="preserve">3  </v>
      </c>
      <c r="I3886" t="str">
        <f>"2020/08/09"</f>
        <v>2020/08/09</v>
      </c>
      <c r="J3886" t="str">
        <f>"504"</f>
        <v>504</v>
      </c>
      <c r="K3886" t="str">
        <f>"20201122"</f>
        <v>20201122</v>
      </c>
      <c r="L3886" t="s">
        <v>18</v>
      </c>
      <c r="M3886" t="str">
        <f>"20180521"</f>
        <v>20180521</v>
      </c>
    </row>
    <row r="3887" spans="1:13" x14ac:dyDescent="0.25">
      <c r="A3887" t="str">
        <f>"00641415"</f>
        <v>00641415</v>
      </c>
      <c r="B3887" t="s">
        <v>3345</v>
      </c>
      <c r="C3887" t="s">
        <v>1208</v>
      </c>
      <c r="D3887" t="s">
        <v>25</v>
      </c>
      <c r="E3887" t="s">
        <v>16</v>
      </c>
      <c r="F3887" t="s">
        <v>17</v>
      </c>
      <c r="G3887" t="str">
        <f>"10"</f>
        <v>10</v>
      </c>
      <c r="H3887" t="str">
        <f>"3  "</f>
        <v xml:space="preserve">3  </v>
      </c>
      <c r="I3887" t="str">
        <f>"2019/02/17"</f>
        <v>2019/02/17</v>
      </c>
      <c r="J3887" t="str">
        <f>"110"</f>
        <v>110</v>
      </c>
      <c r="K3887" t="str">
        <f>"20211220"</f>
        <v>20211220</v>
      </c>
      <c r="L3887" t="s">
        <v>18</v>
      </c>
      <c r="M3887" t="str">
        <f>"20180617"</f>
        <v>20180617</v>
      </c>
    </row>
    <row r="3888" spans="1:13" x14ac:dyDescent="0.25">
      <c r="A3888" t="str">
        <f>"00525491"</f>
        <v>00525491</v>
      </c>
      <c r="B3888" t="s">
        <v>3353</v>
      </c>
      <c r="C3888" t="s">
        <v>118</v>
      </c>
      <c r="D3888" t="s">
        <v>25</v>
      </c>
      <c r="E3888" t="s">
        <v>26</v>
      </c>
      <c r="F3888" t="s">
        <v>17</v>
      </c>
      <c r="G3888" t="str">
        <f>"10"</f>
        <v>10</v>
      </c>
      <c r="H3888" t="str">
        <f>"3  "</f>
        <v xml:space="preserve">3  </v>
      </c>
      <c r="I3888" t="str">
        <f>"2020/08/07"</f>
        <v>2020/08/07</v>
      </c>
      <c r="J3888" t="str">
        <f>"512"</f>
        <v>512</v>
      </c>
      <c r="K3888" t="str">
        <f>"20201005"</f>
        <v>20201005</v>
      </c>
      <c r="L3888" t="s">
        <v>18</v>
      </c>
      <c r="M3888" t="str">
        <f>"20190619"</f>
        <v>20190619</v>
      </c>
    </row>
    <row r="3889" spans="1:13" x14ac:dyDescent="0.25">
      <c r="A3889" t="str">
        <f>"00557106"</f>
        <v>00557106</v>
      </c>
      <c r="B3889" t="s">
        <v>3354</v>
      </c>
      <c r="C3889" t="s">
        <v>385</v>
      </c>
      <c r="D3889" t="s">
        <v>73</v>
      </c>
      <c r="E3889" t="s">
        <v>16</v>
      </c>
      <c r="F3889" t="s">
        <v>17</v>
      </c>
      <c r="G3889" t="str">
        <f>"10"</f>
        <v>10</v>
      </c>
      <c r="H3889" t="str">
        <f>"0  "</f>
        <v xml:space="preserve">0  </v>
      </c>
      <c r="I3889" t="str">
        <f>"2020/08/11"</f>
        <v>2020/08/11</v>
      </c>
      <c r="J3889" t="str">
        <f>"420"</f>
        <v>420</v>
      </c>
      <c r="K3889" t="s">
        <v>18</v>
      </c>
      <c r="L3889" t="s">
        <v>18</v>
      </c>
      <c r="M3889" t="s">
        <v>18</v>
      </c>
    </row>
    <row r="3890" spans="1:13" x14ac:dyDescent="0.25">
      <c r="A3890" t="str">
        <f>"00423688"</f>
        <v>00423688</v>
      </c>
      <c r="B3890" t="s">
        <v>3362</v>
      </c>
      <c r="C3890" t="s">
        <v>14</v>
      </c>
      <c r="D3890" t="s">
        <v>40</v>
      </c>
      <c r="E3890" t="s">
        <v>26</v>
      </c>
      <c r="F3890" t="s">
        <v>17</v>
      </c>
      <c r="G3890" t="str">
        <f>"10"</f>
        <v>10</v>
      </c>
      <c r="H3890" t="str">
        <f>"3  "</f>
        <v xml:space="preserve">3  </v>
      </c>
      <c r="I3890" t="str">
        <f>"2015/07/13"</f>
        <v>2015/07/13</v>
      </c>
      <c r="J3890" t="str">
        <f>"110"</f>
        <v>110</v>
      </c>
      <c r="K3890" t="str">
        <f>"20211020"</f>
        <v>20211020</v>
      </c>
      <c r="L3890" t="s">
        <v>18</v>
      </c>
      <c r="M3890" t="str">
        <f>"20150115"</f>
        <v>20150115</v>
      </c>
    </row>
    <row r="3891" spans="1:13" x14ac:dyDescent="0.25">
      <c r="A3891" t="str">
        <f>"00533443"</f>
        <v>00533443</v>
      </c>
      <c r="B3891" t="s">
        <v>3362</v>
      </c>
      <c r="C3891" t="s">
        <v>148</v>
      </c>
      <c r="D3891" t="s">
        <v>25</v>
      </c>
      <c r="E3891" t="s">
        <v>26</v>
      </c>
      <c r="F3891" t="s">
        <v>17</v>
      </c>
      <c r="G3891" t="str">
        <f>"10"</f>
        <v>10</v>
      </c>
      <c r="H3891" t="str">
        <f>"3  "</f>
        <v xml:space="preserve">3  </v>
      </c>
      <c r="I3891" t="str">
        <f>"2019/06/30"</f>
        <v>2019/06/30</v>
      </c>
      <c r="J3891" t="str">
        <f>"110"</f>
        <v>110</v>
      </c>
      <c r="K3891" t="str">
        <f>"20220603"</f>
        <v>20220603</v>
      </c>
      <c r="L3891" t="s">
        <v>18</v>
      </c>
      <c r="M3891" t="str">
        <f>"20180626"</f>
        <v>20180626</v>
      </c>
    </row>
    <row r="3892" spans="1:13" x14ac:dyDescent="0.25">
      <c r="A3892" t="str">
        <f>"00510201"</f>
        <v>00510201</v>
      </c>
      <c r="B3892" t="s">
        <v>3362</v>
      </c>
      <c r="C3892" t="s">
        <v>627</v>
      </c>
      <c r="D3892" t="s">
        <v>25</v>
      </c>
      <c r="E3892" t="s">
        <v>26</v>
      </c>
      <c r="F3892" t="s">
        <v>17</v>
      </c>
      <c r="G3892" t="str">
        <f>"10"</f>
        <v>10</v>
      </c>
      <c r="H3892" t="str">
        <f>"3  "</f>
        <v xml:space="preserve">3  </v>
      </c>
      <c r="I3892" t="str">
        <f>"2019/07/02"</f>
        <v>2019/07/02</v>
      </c>
      <c r="J3892" t="str">
        <f>"120"</f>
        <v>120</v>
      </c>
      <c r="K3892" t="str">
        <f>"20260120"</f>
        <v>20260120</v>
      </c>
      <c r="L3892" t="s">
        <v>18</v>
      </c>
      <c r="M3892" t="str">
        <f>"20180523"</f>
        <v>20180523</v>
      </c>
    </row>
    <row r="3893" spans="1:13" x14ac:dyDescent="0.25">
      <c r="A3893" t="str">
        <f>"00223953"</f>
        <v>00223953</v>
      </c>
      <c r="B3893" t="s">
        <v>3362</v>
      </c>
      <c r="C3893" t="s">
        <v>169</v>
      </c>
      <c r="D3893" t="s">
        <v>25</v>
      </c>
      <c r="E3893" t="s">
        <v>26</v>
      </c>
      <c r="F3893" t="s">
        <v>17</v>
      </c>
      <c r="G3893" t="str">
        <f>"10"</f>
        <v>10</v>
      </c>
      <c r="H3893" t="str">
        <f>"3  "</f>
        <v xml:space="preserve">3  </v>
      </c>
      <c r="I3893" t="str">
        <f>"2015/12/09"</f>
        <v>2015/12/09</v>
      </c>
      <c r="J3893" t="str">
        <f>"110"</f>
        <v>110</v>
      </c>
      <c r="K3893" t="str">
        <f>"20210825"</f>
        <v>20210825</v>
      </c>
      <c r="L3893" t="s">
        <v>18</v>
      </c>
      <c r="M3893" t="str">
        <f>"20141030"</f>
        <v>20141030</v>
      </c>
    </row>
    <row r="3894" spans="1:13" x14ac:dyDescent="0.25">
      <c r="A3894" t="str">
        <f>"00403033"</f>
        <v>00403033</v>
      </c>
      <c r="B3894" t="s">
        <v>3364</v>
      </c>
      <c r="C3894" t="s">
        <v>176</v>
      </c>
      <c r="D3894" t="s">
        <v>456</v>
      </c>
      <c r="E3894" t="s">
        <v>16</v>
      </c>
      <c r="F3894" t="s">
        <v>17</v>
      </c>
      <c r="G3894" t="str">
        <f>"10"</f>
        <v>10</v>
      </c>
      <c r="H3894" t="str">
        <f>"0  "</f>
        <v xml:space="preserve">0  </v>
      </c>
      <c r="I3894" t="str">
        <f>"2020/08/27"</f>
        <v>2020/08/27</v>
      </c>
      <c r="J3894" t="str">
        <f>"420"</f>
        <v>420</v>
      </c>
      <c r="K3894" t="s">
        <v>18</v>
      </c>
      <c r="L3894" t="s">
        <v>18</v>
      </c>
      <c r="M3894" t="s">
        <v>18</v>
      </c>
    </row>
    <row r="3895" spans="1:13" x14ac:dyDescent="0.25">
      <c r="A3895" t="str">
        <f>"00728974"</f>
        <v>00728974</v>
      </c>
      <c r="B3895" t="s">
        <v>3368</v>
      </c>
      <c r="C3895" t="s">
        <v>3369</v>
      </c>
      <c r="D3895" t="s">
        <v>51</v>
      </c>
      <c r="E3895" t="s">
        <v>16</v>
      </c>
      <c r="F3895" t="s">
        <v>17</v>
      </c>
      <c r="G3895" t="str">
        <f>"10"</f>
        <v>10</v>
      </c>
      <c r="H3895" t="str">
        <f>"1  "</f>
        <v xml:space="preserve">1  </v>
      </c>
      <c r="I3895" t="str">
        <f>"2020/09/22"</f>
        <v>2020/09/22</v>
      </c>
      <c r="J3895" t="str">
        <f>"120"</f>
        <v>120</v>
      </c>
      <c r="K3895" t="str">
        <f>"20201206"</f>
        <v>20201206</v>
      </c>
      <c r="L3895" t="s">
        <v>18</v>
      </c>
      <c r="M3895" t="str">
        <f>"20200914"</f>
        <v>20200914</v>
      </c>
    </row>
    <row r="3896" spans="1:13" x14ac:dyDescent="0.25">
      <c r="A3896" t="str">
        <f>"00818550"</f>
        <v>00818550</v>
      </c>
      <c r="B3896" t="s">
        <v>3370</v>
      </c>
      <c r="C3896" t="s">
        <v>327</v>
      </c>
      <c r="D3896" t="s">
        <v>91</v>
      </c>
      <c r="E3896" t="s">
        <v>16</v>
      </c>
      <c r="F3896" t="s">
        <v>17</v>
      </c>
      <c r="G3896" t="str">
        <f>"10"</f>
        <v>10</v>
      </c>
      <c r="H3896" t="str">
        <f>"0  "</f>
        <v xml:space="preserve">0  </v>
      </c>
      <c r="I3896" t="str">
        <f>"2019/05/02"</f>
        <v>2019/05/02</v>
      </c>
      <c r="J3896" t="str">
        <f>"420"</f>
        <v>420</v>
      </c>
      <c r="K3896" t="s">
        <v>18</v>
      </c>
      <c r="L3896" t="s">
        <v>18</v>
      </c>
      <c r="M3896" t="s">
        <v>18</v>
      </c>
    </row>
    <row r="3897" spans="1:13" x14ac:dyDescent="0.25">
      <c r="A3897" t="str">
        <f>"00427929"</f>
        <v>00427929</v>
      </c>
      <c r="B3897" t="s">
        <v>3374</v>
      </c>
      <c r="C3897" t="s">
        <v>59</v>
      </c>
      <c r="D3897" t="s">
        <v>456</v>
      </c>
      <c r="E3897" t="s">
        <v>26</v>
      </c>
      <c r="F3897" t="s">
        <v>17</v>
      </c>
      <c r="G3897" t="str">
        <f>"10"</f>
        <v>10</v>
      </c>
      <c r="H3897" t="str">
        <f>"1  "</f>
        <v xml:space="preserve">1  </v>
      </c>
      <c r="I3897" t="str">
        <f>"2020/09/15"</f>
        <v>2020/09/15</v>
      </c>
      <c r="J3897" t="str">
        <f>"120"</f>
        <v>120</v>
      </c>
      <c r="K3897" t="str">
        <f>"20200930"</f>
        <v>20200930</v>
      </c>
      <c r="L3897" t="s">
        <v>18</v>
      </c>
      <c r="M3897" t="str">
        <f>"20200903"</f>
        <v>20200903</v>
      </c>
    </row>
    <row r="3898" spans="1:13" x14ac:dyDescent="0.25">
      <c r="A3898" t="str">
        <f>"00242261"</f>
        <v>00242261</v>
      </c>
      <c r="B3898" t="s">
        <v>3383</v>
      </c>
      <c r="C3898" t="s">
        <v>1458</v>
      </c>
      <c r="D3898" t="s">
        <v>21</v>
      </c>
      <c r="E3898" t="s">
        <v>26</v>
      </c>
      <c r="F3898" t="s">
        <v>17</v>
      </c>
      <c r="G3898" t="str">
        <f>"10"</f>
        <v>10</v>
      </c>
      <c r="H3898" t="str">
        <f>"0  "</f>
        <v xml:space="preserve">0  </v>
      </c>
      <c r="I3898" t="str">
        <f>"2019/10/22"</f>
        <v>2019/10/22</v>
      </c>
      <c r="J3898" t="str">
        <f>"420"</f>
        <v>420</v>
      </c>
      <c r="K3898" t="s">
        <v>18</v>
      </c>
      <c r="L3898" t="s">
        <v>18</v>
      </c>
      <c r="M3898" t="s">
        <v>18</v>
      </c>
    </row>
    <row r="3899" spans="1:13" x14ac:dyDescent="0.25">
      <c r="A3899" t="str">
        <f>"00834998"</f>
        <v>00834998</v>
      </c>
      <c r="B3899" t="s">
        <v>3391</v>
      </c>
      <c r="C3899" t="s">
        <v>3392</v>
      </c>
      <c r="D3899" t="s">
        <v>25</v>
      </c>
      <c r="E3899" t="s">
        <v>26</v>
      </c>
      <c r="F3899" t="s">
        <v>17</v>
      </c>
      <c r="G3899" t="str">
        <f>"10"</f>
        <v>10</v>
      </c>
      <c r="H3899" t="str">
        <f>"3  "</f>
        <v xml:space="preserve">3  </v>
      </c>
      <c r="I3899" t="str">
        <f>"2020/07/24"</f>
        <v>2020/07/24</v>
      </c>
      <c r="J3899" t="str">
        <f>"210"</f>
        <v>210</v>
      </c>
      <c r="K3899" t="str">
        <f>"20220207"</f>
        <v>20220207</v>
      </c>
      <c r="L3899" t="s">
        <v>18</v>
      </c>
      <c r="M3899" t="str">
        <f>"20190518"</f>
        <v>20190518</v>
      </c>
    </row>
    <row r="3900" spans="1:13" x14ac:dyDescent="0.25">
      <c r="A3900" t="str">
        <f>"00872428"</f>
        <v>00872428</v>
      </c>
      <c r="B3900" t="s">
        <v>3395</v>
      </c>
      <c r="C3900" t="s">
        <v>155</v>
      </c>
      <c r="D3900" t="s">
        <v>25</v>
      </c>
      <c r="E3900" t="s">
        <v>26</v>
      </c>
      <c r="F3900" t="s">
        <v>17</v>
      </c>
      <c r="G3900" t="str">
        <f>"10"</f>
        <v>10</v>
      </c>
      <c r="H3900" t="str">
        <f>"0  "</f>
        <v xml:space="preserve">0  </v>
      </c>
      <c r="I3900" t="str">
        <f>"2020/06/01"</f>
        <v>2020/06/01</v>
      </c>
      <c r="J3900" t="str">
        <f>"420"</f>
        <v>420</v>
      </c>
      <c r="K3900" t="s">
        <v>18</v>
      </c>
      <c r="L3900" t="s">
        <v>18</v>
      </c>
      <c r="M3900" t="s">
        <v>18</v>
      </c>
    </row>
    <row r="3901" spans="1:13" x14ac:dyDescent="0.25">
      <c r="A3901" t="str">
        <f>"00517380"</f>
        <v>00517380</v>
      </c>
      <c r="B3901" t="s">
        <v>3395</v>
      </c>
      <c r="C3901" t="s">
        <v>833</v>
      </c>
      <c r="D3901" t="s">
        <v>15</v>
      </c>
      <c r="E3901" t="s">
        <v>26</v>
      </c>
      <c r="F3901" t="s">
        <v>17</v>
      </c>
      <c r="G3901" t="str">
        <f>"10"</f>
        <v>10</v>
      </c>
      <c r="H3901" t="str">
        <f>"0  "</f>
        <v xml:space="preserve">0  </v>
      </c>
      <c r="I3901" t="str">
        <f>"2020/02/05"</f>
        <v>2020/02/05</v>
      </c>
      <c r="J3901" t="str">
        <f>"420"</f>
        <v>420</v>
      </c>
      <c r="K3901" t="s">
        <v>18</v>
      </c>
      <c r="L3901" t="s">
        <v>18</v>
      </c>
      <c r="M3901" t="s">
        <v>18</v>
      </c>
    </row>
    <row r="3902" spans="1:13" x14ac:dyDescent="0.25">
      <c r="A3902" t="str">
        <f>"00302386"</f>
        <v>00302386</v>
      </c>
      <c r="B3902" t="s">
        <v>3397</v>
      </c>
      <c r="C3902" t="s">
        <v>3398</v>
      </c>
      <c r="D3902" t="s">
        <v>40</v>
      </c>
      <c r="E3902" t="s">
        <v>26</v>
      </c>
      <c r="F3902" t="s">
        <v>17</v>
      </c>
      <c r="G3902" t="str">
        <f>"10"</f>
        <v>10</v>
      </c>
      <c r="H3902" t="str">
        <f>"3  "</f>
        <v xml:space="preserve">3  </v>
      </c>
      <c r="I3902" t="str">
        <f>"2019/11/14"</f>
        <v>2019/11/14</v>
      </c>
      <c r="J3902" t="str">
        <f>"110"</f>
        <v>110</v>
      </c>
      <c r="K3902" t="str">
        <f>"20211227"</f>
        <v>20211227</v>
      </c>
      <c r="L3902" t="s">
        <v>18</v>
      </c>
      <c r="M3902" t="str">
        <f>"20190516"</f>
        <v>20190516</v>
      </c>
    </row>
    <row r="3903" spans="1:13" x14ac:dyDescent="0.25">
      <c r="A3903" t="str">
        <f>"00879951"</f>
        <v>00879951</v>
      </c>
      <c r="B3903" t="s">
        <v>3399</v>
      </c>
      <c r="C3903" t="s">
        <v>3347</v>
      </c>
      <c r="D3903" t="s">
        <v>25</v>
      </c>
      <c r="E3903" t="s">
        <v>26</v>
      </c>
      <c r="F3903" t="s">
        <v>17</v>
      </c>
      <c r="G3903" t="str">
        <f>"10"</f>
        <v>10</v>
      </c>
      <c r="H3903" t="str">
        <f>"1  "</f>
        <v xml:space="preserve">1  </v>
      </c>
      <c r="I3903" t="str">
        <f>"2020/03/25"</f>
        <v>2020/03/25</v>
      </c>
      <c r="J3903" t="str">
        <f>"512"</f>
        <v>512</v>
      </c>
      <c r="K3903" t="str">
        <f>"20210213"</f>
        <v>20210213</v>
      </c>
      <c r="L3903" t="s">
        <v>18</v>
      </c>
      <c r="M3903" t="str">
        <f>"20200311"</f>
        <v>20200311</v>
      </c>
    </row>
    <row r="3904" spans="1:13" x14ac:dyDescent="0.25">
      <c r="A3904" t="str">
        <f>"00657962"</f>
        <v>00657962</v>
      </c>
      <c r="B3904" t="s">
        <v>3404</v>
      </c>
      <c r="C3904" t="s">
        <v>1775</v>
      </c>
      <c r="D3904" t="s">
        <v>25</v>
      </c>
      <c r="E3904" t="s">
        <v>16</v>
      </c>
      <c r="F3904" t="s">
        <v>17</v>
      </c>
      <c r="G3904" t="str">
        <f>"10"</f>
        <v>10</v>
      </c>
      <c r="H3904" t="str">
        <f>"0  "</f>
        <v xml:space="preserve">0  </v>
      </c>
      <c r="I3904" t="str">
        <f>"2020/04/05"</f>
        <v>2020/04/05</v>
      </c>
      <c r="J3904" t="str">
        <f>"420"</f>
        <v>420</v>
      </c>
      <c r="K3904" t="s">
        <v>18</v>
      </c>
      <c r="L3904" t="s">
        <v>18</v>
      </c>
      <c r="M3904" t="s">
        <v>18</v>
      </c>
    </row>
    <row r="3905" spans="1:13" x14ac:dyDescent="0.25">
      <c r="A3905" t="str">
        <f>"00401014"</f>
        <v>00401014</v>
      </c>
      <c r="B3905" t="s">
        <v>3405</v>
      </c>
      <c r="C3905" t="s">
        <v>55</v>
      </c>
      <c r="D3905" t="s">
        <v>16</v>
      </c>
      <c r="E3905" t="s">
        <v>26</v>
      </c>
      <c r="F3905" t="s">
        <v>17</v>
      </c>
      <c r="G3905" t="str">
        <f>"10"</f>
        <v>10</v>
      </c>
      <c r="H3905" t="str">
        <f>"3  "</f>
        <v xml:space="preserve">3  </v>
      </c>
      <c r="I3905" t="str">
        <f>"2018/01/30"</f>
        <v>2018/01/30</v>
      </c>
      <c r="J3905" t="str">
        <f>"120"</f>
        <v>120</v>
      </c>
      <c r="K3905" t="str">
        <f>"20220810"</f>
        <v>20220810</v>
      </c>
      <c r="L3905" t="s">
        <v>18</v>
      </c>
      <c r="M3905" t="str">
        <f>"20170530"</f>
        <v>20170530</v>
      </c>
    </row>
    <row r="3906" spans="1:13" x14ac:dyDescent="0.25">
      <c r="A3906" t="str">
        <f>"00356680"</f>
        <v>00356680</v>
      </c>
      <c r="B3906" t="s">
        <v>3405</v>
      </c>
      <c r="C3906" t="s">
        <v>677</v>
      </c>
      <c r="D3906" t="s">
        <v>51</v>
      </c>
      <c r="E3906" t="s">
        <v>26</v>
      </c>
      <c r="F3906" t="s">
        <v>17</v>
      </c>
      <c r="G3906" t="str">
        <f>"10"</f>
        <v>10</v>
      </c>
      <c r="H3906" t="str">
        <f>"1  "</f>
        <v xml:space="preserve">1  </v>
      </c>
      <c r="I3906" t="str">
        <f>"2020/07/08"</f>
        <v>2020/07/08</v>
      </c>
      <c r="J3906" t="str">
        <f>"110"</f>
        <v>110</v>
      </c>
      <c r="K3906" t="str">
        <f>"20200928"</f>
        <v>20200928</v>
      </c>
      <c r="L3906" t="s">
        <v>18</v>
      </c>
      <c r="M3906" t="str">
        <f>"20200513"</f>
        <v>20200513</v>
      </c>
    </row>
    <row r="3907" spans="1:13" x14ac:dyDescent="0.25">
      <c r="A3907" t="str">
        <f>"00400345"</f>
        <v>00400345</v>
      </c>
      <c r="B3907" t="s">
        <v>3410</v>
      </c>
      <c r="C3907" t="s">
        <v>313</v>
      </c>
      <c r="D3907" t="s">
        <v>16</v>
      </c>
      <c r="E3907" t="s">
        <v>16</v>
      </c>
      <c r="F3907" t="s">
        <v>17</v>
      </c>
      <c r="G3907" t="str">
        <f>"10"</f>
        <v>10</v>
      </c>
      <c r="H3907" t="str">
        <f>"0  "</f>
        <v xml:space="preserve">0  </v>
      </c>
      <c r="I3907" t="str">
        <f>"2020/07/28"</f>
        <v>2020/07/28</v>
      </c>
      <c r="J3907" t="str">
        <f>"420"</f>
        <v>420</v>
      </c>
      <c r="K3907" t="s">
        <v>18</v>
      </c>
      <c r="L3907" t="s">
        <v>18</v>
      </c>
      <c r="M3907" t="s">
        <v>18</v>
      </c>
    </row>
    <row r="3908" spans="1:13" x14ac:dyDescent="0.25">
      <c r="A3908" t="str">
        <f>"00280322"</f>
        <v>00280322</v>
      </c>
      <c r="B3908" t="s">
        <v>3412</v>
      </c>
      <c r="C3908" t="s">
        <v>3413</v>
      </c>
      <c r="D3908" t="s">
        <v>15</v>
      </c>
      <c r="E3908" t="s">
        <v>26</v>
      </c>
      <c r="F3908" t="s">
        <v>17</v>
      </c>
      <c r="G3908" t="str">
        <f>"10"</f>
        <v>10</v>
      </c>
      <c r="H3908" t="str">
        <f>"3  "</f>
        <v xml:space="preserve">3  </v>
      </c>
      <c r="I3908" t="str">
        <f>"2019/06/03"</f>
        <v>2019/06/03</v>
      </c>
      <c r="J3908" t="str">
        <f>"110"</f>
        <v>110</v>
      </c>
      <c r="K3908" t="str">
        <f>"20240502"</f>
        <v>20240502</v>
      </c>
      <c r="L3908" t="s">
        <v>18</v>
      </c>
      <c r="M3908" t="str">
        <f>"20180419"</f>
        <v>20180419</v>
      </c>
    </row>
    <row r="3909" spans="1:13" x14ac:dyDescent="0.25">
      <c r="A3909" t="str">
        <f>"00199008"</f>
        <v>00199008</v>
      </c>
      <c r="B3909" t="s">
        <v>3416</v>
      </c>
      <c r="C3909" t="s">
        <v>3417</v>
      </c>
      <c r="D3909" t="s">
        <v>80</v>
      </c>
      <c r="E3909" t="s">
        <v>16</v>
      </c>
      <c r="F3909" t="s">
        <v>17</v>
      </c>
      <c r="G3909" t="str">
        <f>"10"</f>
        <v>10</v>
      </c>
      <c r="H3909" t="str">
        <f>"3  "</f>
        <v xml:space="preserve">3  </v>
      </c>
      <c r="I3909" t="str">
        <f>"2019/10/21"</f>
        <v>2019/10/21</v>
      </c>
      <c r="J3909" t="str">
        <f>"110"</f>
        <v>110</v>
      </c>
      <c r="K3909" t="str">
        <f>"20201224"</f>
        <v>20201224</v>
      </c>
      <c r="L3909" t="s">
        <v>18</v>
      </c>
      <c r="M3909" t="str">
        <f>"20191021"</f>
        <v>20191021</v>
      </c>
    </row>
    <row r="3910" spans="1:13" x14ac:dyDescent="0.25">
      <c r="A3910" t="str">
        <f>"00250787"</f>
        <v>00250787</v>
      </c>
      <c r="B3910" t="s">
        <v>3419</v>
      </c>
      <c r="C3910" t="s">
        <v>60</v>
      </c>
      <c r="D3910" t="s">
        <v>40</v>
      </c>
      <c r="E3910" t="s">
        <v>26</v>
      </c>
      <c r="F3910" t="s">
        <v>17</v>
      </c>
      <c r="G3910" t="str">
        <f>"10"</f>
        <v>10</v>
      </c>
      <c r="H3910" t="str">
        <f>"0  "</f>
        <v xml:space="preserve">0  </v>
      </c>
      <c r="I3910" t="str">
        <f>"2019/07/13"</f>
        <v>2019/07/13</v>
      </c>
      <c r="J3910" t="str">
        <f>"420"</f>
        <v>420</v>
      </c>
      <c r="K3910" t="s">
        <v>18</v>
      </c>
      <c r="L3910" t="s">
        <v>18</v>
      </c>
      <c r="M3910" t="s">
        <v>18</v>
      </c>
    </row>
    <row r="3911" spans="1:13" x14ac:dyDescent="0.25">
      <c r="A3911" t="str">
        <f>"00562948"</f>
        <v>00562948</v>
      </c>
      <c r="B3911" t="s">
        <v>3420</v>
      </c>
      <c r="C3911" t="s">
        <v>3421</v>
      </c>
      <c r="D3911" t="s">
        <v>215</v>
      </c>
      <c r="E3911" t="s">
        <v>26</v>
      </c>
      <c r="F3911" t="s">
        <v>17</v>
      </c>
      <c r="G3911" t="str">
        <f>"10"</f>
        <v>10</v>
      </c>
      <c r="H3911" t="str">
        <f>"0  "</f>
        <v xml:space="preserve">0  </v>
      </c>
      <c r="I3911" t="str">
        <f>"2020/02/14"</f>
        <v>2020/02/14</v>
      </c>
      <c r="J3911" t="str">
        <f>"420"</f>
        <v>420</v>
      </c>
      <c r="K3911" t="s">
        <v>18</v>
      </c>
      <c r="L3911" t="s">
        <v>18</v>
      </c>
      <c r="M3911" t="s">
        <v>18</v>
      </c>
    </row>
    <row r="3912" spans="1:13" x14ac:dyDescent="0.25">
      <c r="A3912" t="str">
        <f>"00245459"</f>
        <v>00245459</v>
      </c>
      <c r="B3912" t="s">
        <v>3420</v>
      </c>
      <c r="C3912" t="s">
        <v>595</v>
      </c>
      <c r="D3912" t="s">
        <v>51</v>
      </c>
      <c r="E3912" t="s">
        <v>26</v>
      </c>
      <c r="F3912" t="s">
        <v>17</v>
      </c>
      <c r="G3912" t="str">
        <f>"10"</f>
        <v>10</v>
      </c>
      <c r="H3912" t="str">
        <f>"3  "</f>
        <v xml:space="preserve">3  </v>
      </c>
      <c r="I3912" t="str">
        <f>"2020/09/16"</f>
        <v>2020/09/16</v>
      </c>
      <c r="J3912" t="str">
        <f>"502"</f>
        <v>502</v>
      </c>
      <c r="K3912" t="str">
        <f>"20210824"</f>
        <v>20210824</v>
      </c>
      <c r="L3912" t="s">
        <v>18</v>
      </c>
      <c r="M3912" t="str">
        <f>"20130430"</f>
        <v>20130430</v>
      </c>
    </row>
    <row r="3913" spans="1:13" x14ac:dyDescent="0.25">
      <c r="A3913" t="str">
        <f>"00790874"</f>
        <v>00790874</v>
      </c>
      <c r="B3913" t="s">
        <v>3420</v>
      </c>
      <c r="C3913" t="s">
        <v>148</v>
      </c>
      <c r="D3913" t="s">
        <v>26</v>
      </c>
      <c r="E3913" t="s">
        <v>26</v>
      </c>
      <c r="F3913" t="s">
        <v>17</v>
      </c>
      <c r="G3913" t="str">
        <f>"10"</f>
        <v>10</v>
      </c>
      <c r="H3913" t="str">
        <f>"3  "</f>
        <v xml:space="preserve">3  </v>
      </c>
      <c r="I3913" t="str">
        <f>"2017/09/05"</f>
        <v>2017/09/05</v>
      </c>
      <c r="J3913" t="str">
        <f>"110"</f>
        <v>110</v>
      </c>
      <c r="K3913" t="str">
        <f>"20240129"</f>
        <v>20240129</v>
      </c>
      <c r="L3913" t="s">
        <v>18</v>
      </c>
      <c r="M3913" t="str">
        <f>"20150420"</f>
        <v>20150420</v>
      </c>
    </row>
    <row r="3914" spans="1:13" x14ac:dyDescent="0.25">
      <c r="A3914" t="str">
        <f>"00647571"</f>
        <v>00647571</v>
      </c>
      <c r="B3914" t="s">
        <v>3420</v>
      </c>
      <c r="C3914" t="s">
        <v>3422</v>
      </c>
      <c r="D3914" t="s">
        <v>25</v>
      </c>
      <c r="E3914" t="s">
        <v>26</v>
      </c>
      <c r="F3914" t="s">
        <v>17</v>
      </c>
      <c r="G3914" t="str">
        <f>"10"</f>
        <v>10</v>
      </c>
      <c r="H3914" t="str">
        <f>"3  "</f>
        <v xml:space="preserve">3  </v>
      </c>
      <c r="I3914" t="str">
        <f>"2020/06/02"</f>
        <v>2020/06/02</v>
      </c>
      <c r="J3914" t="str">
        <f>"110"</f>
        <v>110</v>
      </c>
      <c r="K3914" t="str">
        <f>"20280717"</f>
        <v>20280717</v>
      </c>
      <c r="L3914" t="s">
        <v>18</v>
      </c>
      <c r="M3914" t="str">
        <f>"20200602"</f>
        <v>20200602</v>
      </c>
    </row>
    <row r="3915" spans="1:13" x14ac:dyDescent="0.25">
      <c r="A3915" t="str">
        <f>"00331122"</f>
        <v>00331122</v>
      </c>
      <c r="B3915" t="s">
        <v>3420</v>
      </c>
      <c r="C3915" t="s">
        <v>74</v>
      </c>
      <c r="D3915" t="s">
        <v>21</v>
      </c>
      <c r="E3915" t="s">
        <v>26</v>
      </c>
      <c r="F3915" t="s">
        <v>17</v>
      </c>
      <c r="G3915" t="str">
        <f>"10"</f>
        <v>10</v>
      </c>
      <c r="H3915" t="str">
        <f>"3  "</f>
        <v xml:space="preserve">3  </v>
      </c>
      <c r="I3915" t="str">
        <f>"2017/07/28"</f>
        <v>2017/07/28</v>
      </c>
      <c r="J3915" t="str">
        <f>"120"</f>
        <v>120</v>
      </c>
      <c r="K3915" t="str">
        <f>"20240728"</f>
        <v>20240728</v>
      </c>
      <c r="L3915" t="s">
        <v>18</v>
      </c>
      <c r="M3915" t="str">
        <f>"20170615"</f>
        <v>20170615</v>
      </c>
    </row>
    <row r="3916" spans="1:13" x14ac:dyDescent="0.25">
      <c r="A3916" t="str">
        <f>"00655071"</f>
        <v>00655071</v>
      </c>
      <c r="B3916" t="s">
        <v>3426</v>
      </c>
      <c r="C3916" t="s">
        <v>269</v>
      </c>
      <c r="D3916" t="s">
        <v>25</v>
      </c>
      <c r="E3916" t="s">
        <v>26</v>
      </c>
      <c r="F3916" t="s">
        <v>17</v>
      </c>
      <c r="G3916" t="str">
        <f>"10"</f>
        <v>10</v>
      </c>
      <c r="H3916" t="str">
        <f>"3  "</f>
        <v xml:space="preserve">3  </v>
      </c>
      <c r="I3916" t="str">
        <f>"2018/08/01"</f>
        <v>2018/08/01</v>
      </c>
      <c r="J3916" t="str">
        <f>"110"</f>
        <v>110</v>
      </c>
      <c r="K3916" t="str">
        <f>"20220709"</f>
        <v>20220709</v>
      </c>
      <c r="L3916" t="s">
        <v>18</v>
      </c>
      <c r="M3916" t="str">
        <f>"20180310"</f>
        <v>20180310</v>
      </c>
    </row>
    <row r="3917" spans="1:13" x14ac:dyDescent="0.25">
      <c r="A3917" t="str">
        <f>"00561590"</f>
        <v>00561590</v>
      </c>
      <c r="B3917" t="s">
        <v>3426</v>
      </c>
      <c r="C3917" t="s">
        <v>944</v>
      </c>
      <c r="D3917" t="s">
        <v>31</v>
      </c>
      <c r="E3917" t="s">
        <v>26</v>
      </c>
      <c r="F3917" t="s">
        <v>17</v>
      </c>
      <c r="G3917" t="str">
        <f>"10"</f>
        <v>10</v>
      </c>
      <c r="H3917" t="str">
        <f>"3  "</f>
        <v xml:space="preserve">3  </v>
      </c>
      <c r="I3917" t="str">
        <f>"2019/03/13"</f>
        <v>2019/03/13</v>
      </c>
      <c r="J3917" t="str">
        <f>"110"</f>
        <v>110</v>
      </c>
      <c r="K3917" t="str">
        <f>"20250224"</f>
        <v>20250224</v>
      </c>
      <c r="L3917" t="s">
        <v>18</v>
      </c>
      <c r="M3917" t="str">
        <f>"20180213"</f>
        <v>20180213</v>
      </c>
    </row>
    <row r="3918" spans="1:13" x14ac:dyDescent="0.25">
      <c r="A3918" t="str">
        <f>"00785547"</f>
        <v>00785547</v>
      </c>
      <c r="B3918" t="s">
        <v>3431</v>
      </c>
      <c r="C3918" t="s">
        <v>216</v>
      </c>
      <c r="D3918" t="s">
        <v>25</v>
      </c>
      <c r="E3918" t="s">
        <v>26</v>
      </c>
      <c r="F3918" t="s">
        <v>17</v>
      </c>
      <c r="G3918" t="str">
        <f>"10"</f>
        <v>10</v>
      </c>
      <c r="H3918" t="str">
        <f>"1  "</f>
        <v xml:space="preserve">1  </v>
      </c>
      <c r="I3918" t="str">
        <f>"2020/08/26"</f>
        <v>2020/08/26</v>
      </c>
      <c r="J3918" t="str">
        <f>"120"</f>
        <v>120</v>
      </c>
      <c r="K3918" t="str">
        <f>"20210522"</f>
        <v>20210522</v>
      </c>
      <c r="L3918" t="s">
        <v>18</v>
      </c>
      <c r="M3918" t="str">
        <f>"20200616"</f>
        <v>20200616</v>
      </c>
    </row>
    <row r="3919" spans="1:13" x14ac:dyDescent="0.25">
      <c r="A3919" t="str">
        <f>"00895295"</f>
        <v>00895295</v>
      </c>
      <c r="B3919" t="s">
        <v>3432</v>
      </c>
      <c r="C3919" t="s">
        <v>308</v>
      </c>
      <c r="D3919" t="s">
        <v>25</v>
      </c>
      <c r="E3919" t="s">
        <v>26</v>
      </c>
      <c r="F3919" t="s">
        <v>17</v>
      </c>
      <c r="G3919" t="str">
        <f>"10"</f>
        <v>10</v>
      </c>
      <c r="H3919" t="str">
        <f>"3  "</f>
        <v xml:space="preserve">3  </v>
      </c>
      <c r="I3919" t="str">
        <f>"2020/07/10"</f>
        <v>2020/07/10</v>
      </c>
      <c r="J3919" t="str">
        <f>"110"</f>
        <v>110</v>
      </c>
      <c r="K3919" t="str">
        <f>"20270102"</f>
        <v>20270102</v>
      </c>
      <c r="L3919" t="s">
        <v>18</v>
      </c>
      <c r="M3919" t="str">
        <f>"20190109"</f>
        <v>20190109</v>
      </c>
    </row>
    <row r="3920" spans="1:13" x14ac:dyDescent="0.25">
      <c r="A3920" t="str">
        <f>"00771483"</f>
        <v>00771483</v>
      </c>
      <c r="B3920" t="s">
        <v>3432</v>
      </c>
      <c r="C3920" t="s">
        <v>648</v>
      </c>
      <c r="D3920" t="s">
        <v>25</v>
      </c>
      <c r="E3920" t="s">
        <v>26</v>
      </c>
      <c r="F3920" t="s">
        <v>17</v>
      </c>
      <c r="G3920" t="str">
        <f>"10"</f>
        <v>10</v>
      </c>
      <c r="H3920" t="str">
        <f>"0  "</f>
        <v xml:space="preserve">0  </v>
      </c>
      <c r="I3920" t="str">
        <f>"2020/09/17"</f>
        <v>2020/09/17</v>
      </c>
      <c r="J3920" t="str">
        <f>"420"</f>
        <v>420</v>
      </c>
      <c r="K3920" t="s">
        <v>18</v>
      </c>
      <c r="L3920" t="s">
        <v>18</v>
      </c>
      <c r="M3920" t="s">
        <v>18</v>
      </c>
    </row>
    <row r="3921" spans="1:13" x14ac:dyDescent="0.25">
      <c r="A3921" t="str">
        <f>"00773736"</f>
        <v>00773736</v>
      </c>
      <c r="B3921" t="s">
        <v>3433</v>
      </c>
      <c r="C3921" t="s">
        <v>1062</v>
      </c>
      <c r="D3921" t="s">
        <v>73</v>
      </c>
      <c r="E3921" t="s">
        <v>15</v>
      </c>
      <c r="F3921" t="s">
        <v>17</v>
      </c>
      <c r="G3921" t="str">
        <f>"10"</f>
        <v>10</v>
      </c>
      <c r="H3921" t="str">
        <f>"3  "</f>
        <v xml:space="preserve">3  </v>
      </c>
      <c r="I3921" t="str">
        <f>"2019/11/23"</f>
        <v>2019/11/23</v>
      </c>
      <c r="J3921" t="str">
        <f>"120"</f>
        <v>120</v>
      </c>
      <c r="K3921" t="str">
        <f>"20210312"</f>
        <v>20210312</v>
      </c>
      <c r="L3921" t="s">
        <v>18</v>
      </c>
      <c r="M3921" t="str">
        <f>"20191122"</f>
        <v>20191122</v>
      </c>
    </row>
    <row r="3922" spans="1:13" x14ac:dyDescent="0.25">
      <c r="A3922" t="str">
        <f>"00260721"</f>
        <v>00260721</v>
      </c>
      <c r="B3922" t="s">
        <v>3437</v>
      </c>
      <c r="C3922" t="s">
        <v>72</v>
      </c>
      <c r="D3922" t="s">
        <v>80</v>
      </c>
      <c r="E3922" t="s">
        <v>26</v>
      </c>
      <c r="F3922" t="s">
        <v>17</v>
      </c>
      <c r="G3922" t="str">
        <f>"10"</f>
        <v>10</v>
      </c>
      <c r="H3922" t="str">
        <f>"0  "</f>
        <v xml:space="preserve">0  </v>
      </c>
      <c r="I3922" t="str">
        <f>"2020/09/18"</f>
        <v>2020/09/18</v>
      </c>
      <c r="J3922" t="str">
        <f>"420"</f>
        <v>420</v>
      </c>
      <c r="K3922" t="s">
        <v>18</v>
      </c>
      <c r="L3922" t="s">
        <v>18</v>
      </c>
      <c r="M3922" t="s">
        <v>18</v>
      </c>
    </row>
    <row r="3923" spans="1:13" x14ac:dyDescent="0.25">
      <c r="A3923" t="str">
        <f>"00664760"</f>
        <v>00664760</v>
      </c>
      <c r="B3923" t="s">
        <v>3441</v>
      </c>
      <c r="C3923" t="s">
        <v>302</v>
      </c>
      <c r="D3923" t="s">
        <v>15</v>
      </c>
      <c r="E3923" t="s">
        <v>16</v>
      </c>
      <c r="F3923" t="s">
        <v>17</v>
      </c>
      <c r="G3923" t="str">
        <f>"10"</f>
        <v>10</v>
      </c>
      <c r="H3923" t="str">
        <f>"3  "</f>
        <v xml:space="preserve">3  </v>
      </c>
      <c r="I3923" t="str">
        <f>"2020/05/04"</f>
        <v>2020/05/04</v>
      </c>
      <c r="J3923" t="str">
        <f>"110"</f>
        <v>110</v>
      </c>
      <c r="K3923" t="str">
        <f>"20210910"</f>
        <v>20210910</v>
      </c>
      <c r="L3923" t="s">
        <v>18</v>
      </c>
      <c r="M3923" t="str">
        <f>"20191110"</f>
        <v>20191110</v>
      </c>
    </row>
    <row r="3924" spans="1:13" x14ac:dyDescent="0.25">
      <c r="A3924" t="str">
        <f>"00732768"</f>
        <v>00732768</v>
      </c>
      <c r="B3924" t="s">
        <v>3446</v>
      </c>
      <c r="C3924" t="s">
        <v>2938</v>
      </c>
      <c r="D3924" t="s">
        <v>21</v>
      </c>
      <c r="E3924" t="s">
        <v>16</v>
      </c>
      <c r="F3924" t="s">
        <v>17</v>
      </c>
      <c r="G3924" t="str">
        <f>"10"</f>
        <v>10</v>
      </c>
      <c r="H3924" t="str">
        <f>"0  "</f>
        <v xml:space="preserve">0  </v>
      </c>
      <c r="I3924" t="str">
        <f>"2019/05/08"</f>
        <v>2019/05/08</v>
      </c>
      <c r="J3924" t="str">
        <f>"420"</f>
        <v>420</v>
      </c>
      <c r="K3924" t="s">
        <v>18</v>
      </c>
      <c r="L3924" t="s">
        <v>18</v>
      </c>
      <c r="M3924" t="s">
        <v>18</v>
      </c>
    </row>
    <row r="3925" spans="1:13" x14ac:dyDescent="0.25">
      <c r="A3925" t="str">
        <f>"00782411"</f>
        <v>00782411</v>
      </c>
      <c r="B3925" t="s">
        <v>3448</v>
      </c>
      <c r="C3925" t="s">
        <v>261</v>
      </c>
      <c r="D3925" t="s">
        <v>25</v>
      </c>
      <c r="E3925" t="s">
        <v>26</v>
      </c>
      <c r="F3925" t="s">
        <v>17</v>
      </c>
      <c r="G3925" t="str">
        <f>"10"</f>
        <v>10</v>
      </c>
      <c r="H3925" t="str">
        <f>"3  "</f>
        <v xml:space="preserve">3  </v>
      </c>
      <c r="I3925" t="str">
        <f>"2018/03/06"</f>
        <v>2018/03/06</v>
      </c>
      <c r="J3925" t="str">
        <f>"110"</f>
        <v>110</v>
      </c>
      <c r="K3925" t="str">
        <f>"20220206"</f>
        <v>20220206</v>
      </c>
      <c r="L3925" t="s">
        <v>18</v>
      </c>
      <c r="M3925" t="str">
        <f>"20170923"</f>
        <v>20170923</v>
      </c>
    </row>
    <row r="3926" spans="1:13" x14ac:dyDescent="0.25">
      <c r="A3926" t="str">
        <f>"00565872"</f>
        <v>00565872</v>
      </c>
      <c r="B3926" t="s">
        <v>3450</v>
      </c>
      <c r="C3926" t="s">
        <v>191</v>
      </c>
      <c r="D3926" t="s">
        <v>61</v>
      </c>
      <c r="E3926" t="s">
        <v>26</v>
      </c>
      <c r="F3926" t="s">
        <v>17</v>
      </c>
      <c r="G3926" t="str">
        <f>"10"</f>
        <v>10</v>
      </c>
      <c r="H3926" t="str">
        <f>"3  "</f>
        <v xml:space="preserve">3  </v>
      </c>
      <c r="I3926" t="str">
        <f>"2017/06/21"</f>
        <v>2017/06/21</v>
      </c>
      <c r="J3926" t="str">
        <f>"110"</f>
        <v>110</v>
      </c>
      <c r="K3926" t="str">
        <f>"20210324"</f>
        <v>20210324</v>
      </c>
      <c r="L3926" t="s">
        <v>18</v>
      </c>
      <c r="M3926" t="str">
        <f>"20161104"</f>
        <v>20161104</v>
      </c>
    </row>
    <row r="3927" spans="1:13" x14ac:dyDescent="0.25">
      <c r="A3927" t="str">
        <f>"00847947"</f>
        <v>00847947</v>
      </c>
      <c r="B3927" t="s">
        <v>3450</v>
      </c>
      <c r="C3927" t="s">
        <v>14</v>
      </c>
      <c r="D3927" t="s">
        <v>37</v>
      </c>
      <c r="E3927" t="s">
        <v>26</v>
      </c>
      <c r="F3927" t="s">
        <v>17</v>
      </c>
      <c r="G3927" t="str">
        <f>"10"</f>
        <v>10</v>
      </c>
      <c r="H3927" t="str">
        <f>"0  "</f>
        <v xml:space="preserve">0  </v>
      </c>
      <c r="I3927" t="str">
        <f>"2020/06/07"</f>
        <v>2020/06/07</v>
      </c>
      <c r="J3927" t="str">
        <f>"420"</f>
        <v>420</v>
      </c>
      <c r="K3927" t="s">
        <v>18</v>
      </c>
      <c r="L3927" t="s">
        <v>18</v>
      </c>
      <c r="M3927" t="s">
        <v>18</v>
      </c>
    </row>
    <row r="3928" spans="1:13" x14ac:dyDescent="0.25">
      <c r="A3928" t="str">
        <f>"00519948"</f>
        <v>00519948</v>
      </c>
      <c r="B3928" t="s">
        <v>3450</v>
      </c>
      <c r="C3928" t="s">
        <v>44</v>
      </c>
      <c r="D3928" t="s">
        <v>40</v>
      </c>
      <c r="E3928" t="s">
        <v>16</v>
      </c>
      <c r="F3928" t="s">
        <v>17</v>
      </c>
      <c r="G3928" t="str">
        <f>"10"</f>
        <v>10</v>
      </c>
      <c r="H3928" t="str">
        <f>"3  "</f>
        <v xml:space="preserve">3  </v>
      </c>
      <c r="I3928" t="str">
        <f>"2020/03/16"</f>
        <v>2020/03/16</v>
      </c>
      <c r="J3928" t="str">
        <f>"110"</f>
        <v>110</v>
      </c>
      <c r="K3928" t="str">
        <f>"20210403"</f>
        <v>20210403</v>
      </c>
      <c r="L3928" t="s">
        <v>18</v>
      </c>
      <c r="M3928" t="str">
        <f>"20191129"</f>
        <v>20191129</v>
      </c>
    </row>
    <row r="3929" spans="1:13" x14ac:dyDescent="0.25">
      <c r="A3929" t="str">
        <f>"00369492"</f>
        <v>00369492</v>
      </c>
      <c r="B3929" t="s">
        <v>3450</v>
      </c>
      <c r="C3929" t="s">
        <v>980</v>
      </c>
      <c r="D3929" t="s">
        <v>15</v>
      </c>
      <c r="E3929" t="s">
        <v>26</v>
      </c>
      <c r="F3929" t="s">
        <v>17</v>
      </c>
      <c r="G3929" t="str">
        <f>"10"</f>
        <v>10</v>
      </c>
      <c r="H3929" t="str">
        <f>"3  "</f>
        <v xml:space="preserve">3  </v>
      </c>
      <c r="I3929" t="str">
        <f>"2018/07/06"</f>
        <v>2018/07/06</v>
      </c>
      <c r="J3929" t="str">
        <f>"534"</f>
        <v>534</v>
      </c>
      <c r="K3929" t="str">
        <f>"20210925"</f>
        <v>20210925</v>
      </c>
      <c r="L3929" t="s">
        <v>18</v>
      </c>
      <c r="M3929" t="str">
        <f>"20170118"</f>
        <v>20170118</v>
      </c>
    </row>
    <row r="3930" spans="1:13" x14ac:dyDescent="0.25">
      <c r="A3930" t="str">
        <f>"00440763"</f>
        <v>00440763</v>
      </c>
      <c r="B3930" t="s">
        <v>3450</v>
      </c>
      <c r="C3930" t="s">
        <v>156</v>
      </c>
      <c r="D3930" t="s">
        <v>182</v>
      </c>
      <c r="E3930" t="s">
        <v>26</v>
      </c>
      <c r="F3930" t="s">
        <v>17</v>
      </c>
      <c r="G3930" t="str">
        <f>"10"</f>
        <v>10</v>
      </c>
      <c r="H3930" t="str">
        <f>"3  "</f>
        <v xml:space="preserve">3  </v>
      </c>
      <c r="I3930" t="str">
        <f>"2015/02/13"</f>
        <v>2015/02/13</v>
      </c>
      <c r="J3930" t="str">
        <f>"110"</f>
        <v>110</v>
      </c>
      <c r="K3930" t="str">
        <f>"20220319"</f>
        <v>20220319</v>
      </c>
      <c r="L3930" t="s">
        <v>18</v>
      </c>
      <c r="M3930" t="str">
        <f>"20130918"</f>
        <v>20130918</v>
      </c>
    </row>
    <row r="3931" spans="1:13" x14ac:dyDescent="0.25">
      <c r="A3931" t="str">
        <f>"00213228"</f>
        <v>00213228</v>
      </c>
      <c r="B3931" t="s">
        <v>3450</v>
      </c>
      <c r="C3931" t="s">
        <v>136</v>
      </c>
      <c r="D3931" t="s">
        <v>26</v>
      </c>
      <c r="E3931" t="s">
        <v>16</v>
      </c>
      <c r="F3931" t="s">
        <v>17</v>
      </c>
      <c r="G3931" t="str">
        <f>"10"</f>
        <v>10</v>
      </c>
      <c r="H3931" t="str">
        <f>"0  "</f>
        <v xml:space="preserve">0  </v>
      </c>
      <c r="I3931" t="str">
        <f>"2020/03/09"</f>
        <v>2020/03/09</v>
      </c>
      <c r="J3931" t="str">
        <f>"420"</f>
        <v>420</v>
      </c>
      <c r="K3931" t="s">
        <v>18</v>
      </c>
      <c r="L3931" t="s">
        <v>18</v>
      </c>
      <c r="M3931" t="s">
        <v>18</v>
      </c>
    </row>
    <row r="3932" spans="1:13" x14ac:dyDescent="0.25">
      <c r="A3932" t="str">
        <f>"00185834"</f>
        <v>00185834</v>
      </c>
      <c r="B3932" t="s">
        <v>3450</v>
      </c>
      <c r="C3932" t="s">
        <v>136</v>
      </c>
      <c r="D3932" t="s">
        <v>31</v>
      </c>
      <c r="E3932" t="s">
        <v>16</v>
      </c>
      <c r="F3932" t="s">
        <v>17</v>
      </c>
      <c r="G3932" t="str">
        <f>"10"</f>
        <v>10</v>
      </c>
      <c r="H3932" t="str">
        <f>"0  "</f>
        <v xml:space="preserve">0  </v>
      </c>
      <c r="I3932" t="str">
        <f>"2020/09/19"</f>
        <v>2020/09/19</v>
      </c>
      <c r="J3932" t="str">
        <f>"420"</f>
        <v>420</v>
      </c>
      <c r="K3932" t="s">
        <v>18</v>
      </c>
      <c r="L3932" t="s">
        <v>18</v>
      </c>
      <c r="M3932" t="s">
        <v>18</v>
      </c>
    </row>
    <row r="3933" spans="1:13" x14ac:dyDescent="0.25">
      <c r="A3933" t="str">
        <f>"00459265"</f>
        <v>00459265</v>
      </c>
      <c r="B3933" t="s">
        <v>3450</v>
      </c>
      <c r="C3933" t="s">
        <v>3453</v>
      </c>
      <c r="D3933" t="s">
        <v>21</v>
      </c>
      <c r="E3933" t="s">
        <v>26</v>
      </c>
      <c r="F3933" t="s">
        <v>17</v>
      </c>
      <c r="G3933" t="str">
        <f>"10"</f>
        <v>10</v>
      </c>
      <c r="H3933" t="str">
        <f>"0  "</f>
        <v xml:space="preserve">0  </v>
      </c>
      <c r="I3933" t="str">
        <f>"2019/08/13"</f>
        <v>2019/08/13</v>
      </c>
      <c r="J3933" t="str">
        <f>"420"</f>
        <v>420</v>
      </c>
      <c r="K3933" t="s">
        <v>18</v>
      </c>
      <c r="L3933" t="s">
        <v>18</v>
      </c>
      <c r="M3933" t="s">
        <v>18</v>
      </c>
    </row>
    <row r="3934" spans="1:13" x14ac:dyDescent="0.25">
      <c r="A3934" t="str">
        <f>"00306883"</f>
        <v>00306883</v>
      </c>
      <c r="B3934" t="s">
        <v>3450</v>
      </c>
      <c r="C3934" t="s">
        <v>471</v>
      </c>
      <c r="D3934" t="s">
        <v>31</v>
      </c>
      <c r="E3934" t="s">
        <v>26</v>
      </c>
      <c r="F3934" t="s">
        <v>17</v>
      </c>
      <c r="G3934" t="str">
        <f>"10"</f>
        <v>10</v>
      </c>
      <c r="H3934" t="str">
        <f>"3  "</f>
        <v xml:space="preserve">3  </v>
      </c>
      <c r="I3934" t="str">
        <f>"2017/09/15"</f>
        <v>2017/09/15</v>
      </c>
      <c r="J3934" t="str">
        <f>"110"</f>
        <v>110</v>
      </c>
      <c r="K3934" t="str">
        <f>"20220604"</f>
        <v>20220604</v>
      </c>
      <c r="L3934" t="s">
        <v>18</v>
      </c>
      <c r="M3934" t="str">
        <f>"20161201"</f>
        <v>20161201</v>
      </c>
    </row>
    <row r="3935" spans="1:13" x14ac:dyDescent="0.25">
      <c r="A3935" t="str">
        <f>"00513954"</f>
        <v>00513954</v>
      </c>
      <c r="B3935" t="s">
        <v>3450</v>
      </c>
      <c r="C3935" t="s">
        <v>308</v>
      </c>
      <c r="D3935" t="s">
        <v>61</v>
      </c>
      <c r="E3935" t="s">
        <v>26</v>
      </c>
      <c r="F3935" t="s">
        <v>17</v>
      </c>
      <c r="G3935" t="str">
        <f>"10"</f>
        <v>10</v>
      </c>
      <c r="H3935" t="str">
        <f>"3  "</f>
        <v xml:space="preserve">3  </v>
      </c>
      <c r="I3935" t="str">
        <f>"2014/07/16"</f>
        <v>2014/07/16</v>
      </c>
      <c r="J3935" t="str">
        <f>"120"</f>
        <v>120</v>
      </c>
      <c r="K3935" t="str">
        <f>"20210402"</f>
        <v>20210402</v>
      </c>
      <c r="L3935" t="s">
        <v>18</v>
      </c>
      <c r="M3935" t="str">
        <f>"20140201"</f>
        <v>20140201</v>
      </c>
    </row>
    <row r="3936" spans="1:13" x14ac:dyDescent="0.25">
      <c r="A3936" t="str">
        <f>"00810859"</f>
        <v>00810859</v>
      </c>
      <c r="B3936" t="s">
        <v>3450</v>
      </c>
      <c r="C3936" t="s">
        <v>1107</v>
      </c>
      <c r="D3936" t="s">
        <v>61</v>
      </c>
      <c r="E3936" t="s">
        <v>16</v>
      </c>
      <c r="F3936" t="s">
        <v>17</v>
      </c>
      <c r="G3936" t="str">
        <f>"10"</f>
        <v>10</v>
      </c>
      <c r="H3936" t="str">
        <f>"3  "</f>
        <v xml:space="preserve">3  </v>
      </c>
      <c r="I3936" t="str">
        <f>"2017/08/14"</f>
        <v>2017/08/14</v>
      </c>
      <c r="J3936" t="str">
        <f>"110"</f>
        <v>110</v>
      </c>
      <c r="K3936" t="str">
        <f>"20250808"</f>
        <v>20250808</v>
      </c>
      <c r="L3936" t="s">
        <v>18</v>
      </c>
      <c r="M3936" t="str">
        <f>"20160830"</f>
        <v>20160830</v>
      </c>
    </row>
    <row r="3937" spans="1:13" x14ac:dyDescent="0.25">
      <c r="A3937" t="str">
        <f>"00763486"</f>
        <v>00763486</v>
      </c>
      <c r="B3937" t="s">
        <v>3450</v>
      </c>
      <c r="C3937" t="s">
        <v>55</v>
      </c>
      <c r="D3937" t="s">
        <v>25</v>
      </c>
      <c r="E3937" t="s">
        <v>26</v>
      </c>
      <c r="F3937" t="s">
        <v>17</v>
      </c>
      <c r="G3937" t="str">
        <f>"10"</f>
        <v>10</v>
      </c>
      <c r="H3937" t="str">
        <f>"3  "</f>
        <v xml:space="preserve">3  </v>
      </c>
      <c r="I3937" t="str">
        <f>"2015/12/08"</f>
        <v>2015/12/08</v>
      </c>
      <c r="J3937" t="str">
        <f>"110"</f>
        <v>110</v>
      </c>
      <c r="K3937" t="str">
        <f>"20220621"</f>
        <v>20220621</v>
      </c>
      <c r="L3937" t="s">
        <v>18</v>
      </c>
      <c r="M3937" t="str">
        <f>"20140902"</f>
        <v>20140902</v>
      </c>
    </row>
    <row r="3938" spans="1:13" x14ac:dyDescent="0.25">
      <c r="A3938" t="str">
        <f>"00550517"</f>
        <v>00550517</v>
      </c>
      <c r="B3938" t="s">
        <v>3450</v>
      </c>
      <c r="C3938" t="s">
        <v>59</v>
      </c>
      <c r="D3938" t="s">
        <v>15</v>
      </c>
      <c r="E3938" t="s">
        <v>16</v>
      </c>
      <c r="F3938" t="s">
        <v>17</v>
      </c>
      <c r="G3938" t="str">
        <f>"10"</f>
        <v>10</v>
      </c>
      <c r="H3938" t="str">
        <f>"3  "</f>
        <v xml:space="preserve">3  </v>
      </c>
      <c r="I3938" t="str">
        <f>"2020/07/11"</f>
        <v>2020/07/11</v>
      </c>
      <c r="J3938" t="str">
        <f>"110"</f>
        <v>110</v>
      </c>
      <c r="K3938" t="str">
        <f>"20231021"</f>
        <v>20231021</v>
      </c>
      <c r="L3938" t="s">
        <v>18</v>
      </c>
      <c r="M3938" t="str">
        <f>"20191024"</f>
        <v>20191024</v>
      </c>
    </row>
    <row r="3939" spans="1:13" x14ac:dyDescent="0.25">
      <c r="A3939" t="str">
        <f>"00583933"</f>
        <v>00583933</v>
      </c>
      <c r="B3939" t="s">
        <v>3450</v>
      </c>
      <c r="C3939" t="s">
        <v>168</v>
      </c>
      <c r="D3939" t="s">
        <v>53</v>
      </c>
      <c r="E3939" t="s">
        <v>26</v>
      </c>
      <c r="F3939" t="s">
        <v>17</v>
      </c>
      <c r="G3939" t="str">
        <f>"10"</f>
        <v>10</v>
      </c>
      <c r="H3939" t="str">
        <f>"3  "</f>
        <v xml:space="preserve">3  </v>
      </c>
      <c r="I3939" t="str">
        <f>"2020/07/22"</f>
        <v>2020/07/22</v>
      </c>
      <c r="J3939" t="str">
        <f>"504"</f>
        <v>504</v>
      </c>
      <c r="K3939" t="str">
        <f>"20201020"</f>
        <v>20201020</v>
      </c>
      <c r="L3939" t="s">
        <v>18</v>
      </c>
      <c r="M3939" t="str">
        <f>"20170604"</f>
        <v>20170604</v>
      </c>
    </row>
    <row r="3940" spans="1:13" x14ac:dyDescent="0.25">
      <c r="A3940" t="str">
        <f>"00271347"</f>
        <v>00271347</v>
      </c>
      <c r="B3940" t="s">
        <v>3450</v>
      </c>
      <c r="C3940" t="s">
        <v>3463</v>
      </c>
      <c r="D3940" t="s">
        <v>15</v>
      </c>
      <c r="E3940" t="s">
        <v>26</v>
      </c>
      <c r="F3940" t="s">
        <v>17</v>
      </c>
      <c r="G3940" t="str">
        <f>"10"</f>
        <v>10</v>
      </c>
      <c r="H3940" t="str">
        <f>"3  "</f>
        <v xml:space="preserve">3  </v>
      </c>
      <c r="I3940" t="str">
        <f>"2018/10/06"</f>
        <v>2018/10/06</v>
      </c>
      <c r="J3940" t="str">
        <f>"110"</f>
        <v>110</v>
      </c>
      <c r="K3940" t="str">
        <f>"20221020"</f>
        <v>20221020</v>
      </c>
      <c r="L3940" t="s">
        <v>18</v>
      </c>
      <c r="M3940" t="str">
        <f>"20170808"</f>
        <v>20170808</v>
      </c>
    </row>
    <row r="3941" spans="1:13" x14ac:dyDescent="0.25">
      <c r="A3941" t="str">
        <f>"00452625"</f>
        <v>00452625</v>
      </c>
      <c r="B3941" t="s">
        <v>3466</v>
      </c>
      <c r="C3941" t="s">
        <v>3467</v>
      </c>
      <c r="D3941" t="s">
        <v>37</v>
      </c>
      <c r="E3941" t="s">
        <v>16</v>
      </c>
      <c r="F3941" t="s">
        <v>17</v>
      </c>
      <c r="G3941" t="str">
        <f>"10"</f>
        <v>10</v>
      </c>
      <c r="H3941" t="str">
        <f>"3  "</f>
        <v xml:space="preserve">3  </v>
      </c>
      <c r="I3941" t="str">
        <f>"2019/05/12"</f>
        <v>2019/05/12</v>
      </c>
      <c r="J3941" t="str">
        <f>"110"</f>
        <v>110</v>
      </c>
      <c r="K3941" t="str">
        <f>"20211015"</f>
        <v>20211015</v>
      </c>
      <c r="L3941" t="s">
        <v>18</v>
      </c>
      <c r="M3941" t="str">
        <f>"20180604"</f>
        <v>20180604</v>
      </c>
    </row>
    <row r="3942" spans="1:13" x14ac:dyDescent="0.25">
      <c r="A3942" t="str">
        <f>"00869550"</f>
        <v>00869550</v>
      </c>
      <c r="B3942" t="s">
        <v>3470</v>
      </c>
      <c r="C3942" t="s">
        <v>232</v>
      </c>
      <c r="D3942" t="s">
        <v>21</v>
      </c>
      <c r="E3942" t="s">
        <v>16</v>
      </c>
      <c r="F3942" t="s">
        <v>17</v>
      </c>
      <c r="G3942" t="str">
        <f>"10"</f>
        <v>10</v>
      </c>
      <c r="H3942" t="str">
        <f>"3  "</f>
        <v xml:space="preserve">3  </v>
      </c>
      <c r="I3942" t="str">
        <f>"2018/10/08"</f>
        <v>2018/10/08</v>
      </c>
      <c r="J3942" t="str">
        <f>"110"</f>
        <v>110</v>
      </c>
      <c r="K3942" t="str">
        <f>"20230307"</f>
        <v>20230307</v>
      </c>
      <c r="L3942" t="s">
        <v>18</v>
      </c>
      <c r="M3942" t="str">
        <f>"20171129"</f>
        <v>20171129</v>
      </c>
    </row>
    <row r="3943" spans="1:13" x14ac:dyDescent="0.25">
      <c r="A3943" t="str">
        <f>"00647880"</f>
        <v>00647880</v>
      </c>
      <c r="B3943" t="s">
        <v>3472</v>
      </c>
      <c r="C3943" t="s">
        <v>2134</v>
      </c>
      <c r="D3943" t="s">
        <v>25</v>
      </c>
      <c r="E3943" t="s">
        <v>26</v>
      </c>
      <c r="F3943" t="s">
        <v>17</v>
      </c>
      <c r="G3943" t="str">
        <f>"10"</f>
        <v>10</v>
      </c>
      <c r="H3943" t="str">
        <f>"3  "</f>
        <v xml:space="preserve">3  </v>
      </c>
      <c r="I3943" t="str">
        <f>"2020/07/02"</f>
        <v>2020/07/02</v>
      </c>
      <c r="J3943" t="str">
        <f>"110"</f>
        <v>110</v>
      </c>
      <c r="K3943" t="str">
        <f>"20251208"</f>
        <v>20251208</v>
      </c>
      <c r="L3943" t="s">
        <v>18</v>
      </c>
      <c r="M3943" t="str">
        <f>"20200702"</f>
        <v>20200702</v>
      </c>
    </row>
    <row r="3944" spans="1:13" x14ac:dyDescent="0.25">
      <c r="A3944" t="str">
        <f>"00859506"</f>
        <v>00859506</v>
      </c>
      <c r="B3944" t="s">
        <v>3474</v>
      </c>
      <c r="C3944" t="s">
        <v>3172</v>
      </c>
      <c r="D3944" t="s">
        <v>25</v>
      </c>
      <c r="E3944" t="s">
        <v>26</v>
      </c>
      <c r="F3944" t="s">
        <v>17</v>
      </c>
      <c r="G3944" t="str">
        <f>"10"</f>
        <v>10</v>
      </c>
      <c r="H3944" t="str">
        <f>"3  "</f>
        <v xml:space="preserve">3  </v>
      </c>
      <c r="I3944" t="str">
        <f>"2018/05/09"</f>
        <v>2018/05/09</v>
      </c>
      <c r="J3944" t="str">
        <f>"110"</f>
        <v>110</v>
      </c>
      <c r="K3944" t="str">
        <f>"20201128"</f>
        <v>20201128</v>
      </c>
      <c r="L3944" t="s">
        <v>18</v>
      </c>
      <c r="M3944" t="str">
        <f>"20170711"</f>
        <v>20170711</v>
      </c>
    </row>
    <row r="3945" spans="1:13" x14ac:dyDescent="0.25">
      <c r="A3945" t="str">
        <f>"00297407"</f>
        <v>00297407</v>
      </c>
      <c r="B3945" t="s">
        <v>3482</v>
      </c>
      <c r="C3945" t="s">
        <v>336</v>
      </c>
      <c r="D3945" t="s">
        <v>80</v>
      </c>
      <c r="E3945" t="s">
        <v>26</v>
      </c>
      <c r="F3945" t="s">
        <v>17</v>
      </c>
      <c r="G3945" t="str">
        <f>"10"</f>
        <v>10</v>
      </c>
      <c r="H3945" t="str">
        <f>"3  "</f>
        <v xml:space="preserve">3  </v>
      </c>
      <c r="I3945" t="str">
        <f>"2017/08/08"</f>
        <v>2017/08/08</v>
      </c>
      <c r="J3945" t="str">
        <f>"110"</f>
        <v>110</v>
      </c>
      <c r="K3945" t="str">
        <f>"20221223"</f>
        <v>20221223</v>
      </c>
      <c r="L3945" t="s">
        <v>18</v>
      </c>
      <c r="M3945" t="str">
        <f>"20161012"</f>
        <v>20161012</v>
      </c>
    </row>
    <row r="3946" spans="1:13" x14ac:dyDescent="0.25">
      <c r="A3946" t="str">
        <f>"00526591"</f>
        <v>00526591</v>
      </c>
      <c r="B3946" t="s">
        <v>3485</v>
      </c>
      <c r="C3946" t="s">
        <v>358</v>
      </c>
      <c r="D3946" t="s">
        <v>16</v>
      </c>
      <c r="E3946" t="s">
        <v>16</v>
      </c>
      <c r="F3946" t="s">
        <v>17</v>
      </c>
      <c r="G3946" t="str">
        <f>"10"</f>
        <v>10</v>
      </c>
      <c r="H3946" t="str">
        <f>"0  "</f>
        <v xml:space="preserve">0  </v>
      </c>
      <c r="I3946" t="str">
        <f>"2020/09/22"</f>
        <v>2020/09/22</v>
      </c>
      <c r="J3946" t="str">
        <f>"420"</f>
        <v>420</v>
      </c>
      <c r="K3946" t="s">
        <v>18</v>
      </c>
      <c r="L3946" t="s">
        <v>18</v>
      </c>
      <c r="M3946" t="s">
        <v>18</v>
      </c>
    </row>
    <row r="3947" spans="1:13" x14ac:dyDescent="0.25">
      <c r="A3947" t="str">
        <f>"00732672"</f>
        <v>00732672</v>
      </c>
      <c r="B3947" t="s">
        <v>3489</v>
      </c>
      <c r="C3947" t="s">
        <v>3490</v>
      </c>
      <c r="D3947" t="s">
        <v>31</v>
      </c>
      <c r="E3947" t="s">
        <v>26</v>
      </c>
      <c r="F3947" t="s">
        <v>17</v>
      </c>
      <c r="G3947" t="str">
        <f>"10"</f>
        <v>10</v>
      </c>
      <c r="H3947" t="str">
        <f>"3  "</f>
        <v xml:space="preserve">3  </v>
      </c>
      <c r="I3947" t="str">
        <f>"2015/06/04"</f>
        <v>2015/06/04</v>
      </c>
      <c r="J3947" t="str">
        <f>"110"</f>
        <v>110</v>
      </c>
      <c r="K3947" t="str">
        <f>"20220531"</f>
        <v>20220531</v>
      </c>
      <c r="L3947" t="s">
        <v>18</v>
      </c>
      <c r="M3947" t="str">
        <f>"20150324"</f>
        <v>20150324</v>
      </c>
    </row>
    <row r="3948" spans="1:13" x14ac:dyDescent="0.25">
      <c r="A3948" t="str">
        <f>"00896573"</f>
        <v>00896573</v>
      </c>
      <c r="B3948" t="s">
        <v>3491</v>
      </c>
      <c r="C3948" t="s">
        <v>987</v>
      </c>
      <c r="D3948" t="s">
        <v>16</v>
      </c>
      <c r="E3948" t="s">
        <v>16</v>
      </c>
      <c r="F3948" t="s">
        <v>17</v>
      </c>
      <c r="G3948" t="str">
        <f>"10"</f>
        <v>10</v>
      </c>
      <c r="H3948" t="str">
        <f>"3  "</f>
        <v xml:space="preserve">3  </v>
      </c>
      <c r="I3948" t="str">
        <f>"2020/03/09"</f>
        <v>2020/03/09</v>
      </c>
      <c r="J3948" t="str">
        <f>"110"</f>
        <v>110</v>
      </c>
      <c r="K3948" t="str">
        <f>"20201020"</f>
        <v>20201020</v>
      </c>
      <c r="L3948" t="s">
        <v>18</v>
      </c>
      <c r="M3948" t="str">
        <f>"20181220"</f>
        <v>20181220</v>
      </c>
    </row>
    <row r="3949" spans="1:13" x14ac:dyDescent="0.25">
      <c r="A3949" t="str">
        <f>"00429549"</f>
        <v>00429549</v>
      </c>
      <c r="B3949" t="s">
        <v>3502</v>
      </c>
      <c r="C3949" t="s">
        <v>2662</v>
      </c>
      <c r="D3949" t="s">
        <v>51</v>
      </c>
      <c r="E3949" t="s">
        <v>26</v>
      </c>
      <c r="F3949" t="s">
        <v>17</v>
      </c>
      <c r="G3949" t="str">
        <f>"10"</f>
        <v>10</v>
      </c>
      <c r="H3949" t="str">
        <f>"1  "</f>
        <v xml:space="preserve">1  </v>
      </c>
      <c r="I3949" t="str">
        <f>"2020/07/21"</f>
        <v>2020/07/21</v>
      </c>
      <c r="J3949" t="str">
        <f>"110"</f>
        <v>110</v>
      </c>
      <c r="K3949" t="str">
        <f>"20210221"</f>
        <v>20210221</v>
      </c>
      <c r="L3949" t="s">
        <v>18</v>
      </c>
      <c r="M3949" t="str">
        <f>"20200616"</f>
        <v>20200616</v>
      </c>
    </row>
    <row r="3950" spans="1:13" x14ac:dyDescent="0.25">
      <c r="A3950" t="str">
        <f>"00691196"</f>
        <v>00691196</v>
      </c>
      <c r="B3950" t="s">
        <v>3506</v>
      </c>
      <c r="C3950" t="s">
        <v>14</v>
      </c>
      <c r="D3950" t="s">
        <v>61</v>
      </c>
      <c r="E3950" t="s">
        <v>26</v>
      </c>
      <c r="F3950" t="s">
        <v>17</v>
      </c>
      <c r="G3950" t="str">
        <f>"10"</f>
        <v>10</v>
      </c>
      <c r="H3950" t="str">
        <f>"3  "</f>
        <v xml:space="preserve">3  </v>
      </c>
      <c r="I3950" t="str">
        <f>"2018/01/05"</f>
        <v>2018/01/05</v>
      </c>
      <c r="J3950" t="str">
        <f>"110"</f>
        <v>110</v>
      </c>
      <c r="K3950" t="str">
        <f>"20210219"</f>
        <v>20210219</v>
      </c>
      <c r="L3950" t="s">
        <v>18</v>
      </c>
      <c r="M3950" t="str">
        <f>"20170913"</f>
        <v>20170913</v>
      </c>
    </row>
    <row r="3951" spans="1:13" x14ac:dyDescent="0.25">
      <c r="A3951" t="str">
        <f>"00854034"</f>
        <v>00854034</v>
      </c>
      <c r="B3951" t="s">
        <v>3506</v>
      </c>
      <c r="C3951" t="s">
        <v>120</v>
      </c>
      <c r="D3951" t="s">
        <v>61</v>
      </c>
      <c r="E3951" t="s">
        <v>26</v>
      </c>
      <c r="F3951" t="s">
        <v>17</v>
      </c>
      <c r="G3951" t="str">
        <f>"10"</f>
        <v>10</v>
      </c>
      <c r="H3951" t="str">
        <f>"0  "</f>
        <v xml:space="preserve">0  </v>
      </c>
      <c r="I3951" t="str">
        <f>"2020/08/01"</f>
        <v>2020/08/01</v>
      </c>
      <c r="J3951" t="str">
        <f>"512"</f>
        <v>512</v>
      </c>
      <c r="K3951" t="s">
        <v>18</v>
      </c>
      <c r="L3951" t="s">
        <v>18</v>
      </c>
      <c r="M3951" t="s">
        <v>18</v>
      </c>
    </row>
    <row r="3952" spans="1:13" x14ac:dyDescent="0.25">
      <c r="A3952" t="str">
        <f>"00525863"</f>
        <v>00525863</v>
      </c>
      <c r="B3952" t="s">
        <v>3509</v>
      </c>
      <c r="C3952" t="s">
        <v>3510</v>
      </c>
      <c r="D3952" t="s">
        <v>21</v>
      </c>
      <c r="E3952" t="s">
        <v>26</v>
      </c>
      <c r="F3952" t="s">
        <v>17</v>
      </c>
      <c r="G3952" t="str">
        <f>"10"</f>
        <v>10</v>
      </c>
      <c r="H3952" t="str">
        <f>"0  "</f>
        <v xml:space="preserve">0  </v>
      </c>
      <c r="I3952" t="str">
        <f>"2020/09/18"</f>
        <v>2020/09/18</v>
      </c>
      <c r="J3952" t="str">
        <f>"420"</f>
        <v>420</v>
      </c>
      <c r="K3952" t="s">
        <v>18</v>
      </c>
      <c r="L3952" t="s">
        <v>18</v>
      </c>
      <c r="M3952" t="s">
        <v>18</v>
      </c>
    </row>
    <row r="3953" spans="1:13" x14ac:dyDescent="0.25">
      <c r="A3953" t="str">
        <f>"00540307"</f>
        <v>00540307</v>
      </c>
      <c r="B3953" t="s">
        <v>3512</v>
      </c>
      <c r="C3953" t="s">
        <v>772</v>
      </c>
      <c r="D3953" t="s">
        <v>25</v>
      </c>
      <c r="E3953" t="s">
        <v>26</v>
      </c>
      <c r="F3953" t="s">
        <v>17</v>
      </c>
      <c r="G3953" t="str">
        <f>"10"</f>
        <v>10</v>
      </c>
      <c r="H3953" t="str">
        <f>"3  "</f>
        <v xml:space="preserve">3  </v>
      </c>
      <c r="I3953" t="str">
        <f>"2018/05/29"</f>
        <v>2018/05/29</v>
      </c>
      <c r="J3953" t="str">
        <f>"110"</f>
        <v>110</v>
      </c>
      <c r="K3953" t="str">
        <f>"20210716"</f>
        <v>20210716</v>
      </c>
      <c r="L3953" t="s">
        <v>18</v>
      </c>
      <c r="M3953" t="str">
        <f>"20170502"</f>
        <v>20170502</v>
      </c>
    </row>
    <row r="3954" spans="1:13" x14ac:dyDescent="0.25">
      <c r="A3954" t="str">
        <f>"00418661"</f>
        <v>00418661</v>
      </c>
      <c r="B3954" t="s">
        <v>3514</v>
      </c>
      <c r="C3954" t="s">
        <v>799</v>
      </c>
      <c r="D3954" t="s">
        <v>16</v>
      </c>
      <c r="E3954" t="s">
        <v>16</v>
      </c>
      <c r="F3954" t="s">
        <v>17</v>
      </c>
      <c r="G3954" t="str">
        <f>"10"</f>
        <v>10</v>
      </c>
      <c r="H3954" t="str">
        <f>"0  "</f>
        <v xml:space="preserve">0  </v>
      </c>
      <c r="I3954" t="str">
        <f>"2020/09/10"</f>
        <v>2020/09/10</v>
      </c>
      <c r="J3954" t="str">
        <f>"420"</f>
        <v>420</v>
      </c>
      <c r="K3954" t="s">
        <v>18</v>
      </c>
      <c r="L3954" t="s">
        <v>18</v>
      </c>
      <c r="M3954" t="s">
        <v>18</v>
      </c>
    </row>
    <row r="3955" spans="1:13" x14ac:dyDescent="0.25">
      <c r="A3955" t="str">
        <f>"00532407"</f>
        <v>00532407</v>
      </c>
      <c r="B3955" t="s">
        <v>3515</v>
      </c>
      <c r="C3955" t="s">
        <v>74</v>
      </c>
      <c r="D3955" t="s">
        <v>25</v>
      </c>
      <c r="E3955" t="s">
        <v>16</v>
      </c>
      <c r="F3955" t="s">
        <v>17</v>
      </c>
      <c r="G3955" t="str">
        <f>"10"</f>
        <v>10</v>
      </c>
      <c r="H3955" t="str">
        <f>"0  "</f>
        <v xml:space="preserve">0  </v>
      </c>
      <c r="I3955" t="str">
        <f>"2020/07/31"</f>
        <v>2020/07/31</v>
      </c>
      <c r="J3955" t="str">
        <f>"512"</f>
        <v>512</v>
      </c>
      <c r="K3955" t="s">
        <v>18</v>
      </c>
      <c r="L3955" t="s">
        <v>18</v>
      </c>
      <c r="M3955" t="s">
        <v>18</v>
      </c>
    </row>
    <row r="3956" spans="1:13" x14ac:dyDescent="0.25">
      <c r="A3956" t="str">
        <f>"00676036"</f>
        <v>00676036</v>
      </c>
      <c r="B3956" t="s">
        <v>3518</v>
      </c>
      <c r="C3956" t="s">
        <v>248</v>
      </c>
      <c r="D3956" t="s">
        <v>45</v>
      </c>
      <c r="E3956" t="s">
        <v>16</v>
      </c>
      <c r="F3956" t="s">
        <v>17</v>
      </c>
      <c r="G3956" t="str">
        <f>"10"</f>
        <v>10</v>
      </c>
      <c r="H3956" t="str">
        <f>"3  "</f>
        <v xml:space="preserve">3  </v>
      </c>
      <c r="I3956" t="str">
        <f>"2018/06/07"</f>
        <v>2018/06/07</v>
      </c>
      <c r="J3956" t="str">
        <f>"120"</f>
        <v>120</v>
      </c>
      <c r="K3956" t="str">
        <f>"20260624"</f>
        <v>20260624</v>
      </c>
      <c r="L3956" t="s">
        <v>18</v>
      </c>
      <c r="M3956" t="str">
        <f>"20180521"</f>
        <v>20180521</v>
      </c>
    </row>
    <row r="3957" spans="1:13" x14ac:dyDescent="0.25">
      <c r="A3957" t="str">
        <f>"00638388"</f>
        <v>00638388</v>
      </c>
      <c r="B3957" t="s">
        <v>3519</v>
      </c>
      <c r="C3957" t="s">
        <v>269</v>
      </c>
      <c r="D3957" t="s">
        <v>53</v>
      </c>
      <c r="E3957" t="s">
        <v>16</v>
      </c>
      <c r="F3957" t="s">
        <v>17</v>
      </c>
      <c r="G3957" t="str">
        <f>"10"</f>
        <v>10</v>
      </c>
      <c r="H3957" t="str">
        <f>"3  "</f>
        <v xml:space="preserve">3  </v>
      </c>
      <c r="I3957" t="str">
        <f>"2019/08/09"</f>
        <v>2019/08/09</v>
      </c>
      <c r="J3957" t="str">
        <f>"110"</f>
        <v>110</v>
      </c>
      <c r="K3957" t="str">
        <f>"20230428"</f>
        <v>20230428</v>
      </c>
      <c r="L3957" t="s">
        <v>18</v>
      </c>
      <c r="M3957" t="str">
        <f>"20190112"</f>
        <v>20190112</v>
      </c>
    </row>
    <row r="3958" spans="1:13" x14ac:dyDescent="0.25">
      <c r="A3958" t="str">
        <f>"00274630"</f>
        <v>00274630</v>
      </c>
      <c r="B3958" t="s">
        <v>3521</v>
      </c>
      <c r="C3958" t="s">
        <v>148</v>
      </c>
      <c r="D3958" t="s">
        <v>31</v>
      </c>
      <c r="E3958" t="s">
        <v>16</v>
      </c>
      <c r="F3958" t="s">
        <v>17</v>
      </c>
      <c r="G3958" t="str">
        <f>"10"</f>
        <v>10</v>
      </c>
      <c r="H3958" t="str">
        <f>"3  "</f>
        <v xml:space="preserve">3  </v>
      </c>
      <c r="I3958" t="str">
        <f>"2020/07/10"</f>
        <v>2020/07/10</v>
      </c>
      <c r="J3958" t="str">
        <f>"512"</f>
        <v>512</v>
      </c>
      <c r="K3958" t="str">
        <f>"20220430"</f>
        <v>20220430</v>
      </c>
      <c r="L3958" t="s">
        <v>18</v>
      </c>
      <c r="M3958" t="str">
        <f>"20200630"</f>
        <v>20200630</v>
      </c>
    </row>
    <row r="3959" spans="1:13" x14ac:dyDescent="0.25">
      <c r="A3959" t="str">
        <f>"00659657"</f>
        <v>00659657</v>
      </c>
      <c r="B3959" t="s">
        <v>3521</v>
      </c>
      <c r="C3959" t="s">
        <v>2066</v>
      </c>
      <c r="D3959" t="s">
        <v>53</v>
      </c>
      <c r="E3959" t="s">
        <v>26</v>
      </c>
      <c r="F3959" t="s">
        <v>17</v>
      </c>
      <c r="G3959" t="str">
        <f>"10"</f>
        <v>10</v>
      </c>
      <c r="H3959" t="str">
        <f>"3  "</f>
        <v xml:space="preserve">3  </v>
      </c>
      <c r="I3959" t="str">
        <f>"2016/10/05"</f>
        <v>2016/10/05</v>
      </c>
      <c r="J3959" t="str">
        <f>"110"</f>
        <v>110</v>
      </c>
      <c r="K3959" t="str">
        <f>"20241009"</f>
        <v>20241009</v>
      </c>
      <c r="L3959" t="s">
        <v>18</v>
      </c>
      <c r="M3959" t="str">
        <f>"20160313"</f>
        <v>20160313</v>
      </c>
    </row>
    <row r="3960" spans="1:13" x14ac:dyDescent="0.25">
      <c r="A3960" t="str">
        <f>"00763689"</f>
        <v>00763689</v>
      </c>
      <c r="B3960" t="s">
        <v>3521</v>
      </c>
      <c r="C3960" t="s">
        <v>267</v>
      </c>
      <c r="D3960" t="s">
        <v>21</v>
      </c>
      <c r="E3960" t="s">
        <v>26</v>
      </c>
      <c r="F3960" t="s">
        <v>17</v>
      </c>
      <c r="G3960" t="str">
        <f>"10"</f>
        <v>10</v>
      </c>
      <c r="H3960" t="str">
        <f>"3  "</f>
        <v xml:space="preserve">3  </v>
      </c>
      <c r="I3960" t="str">
        <f>"2019/07/19"</f>
        <v>2019/07/19</v>
      </c>
      <c r="J3960" t="str">
        <f>"110"</f>
        <v>110</v>
      </c>
      <c r="K3960" t="str">
        <f>"20220308"</f>
        <v>20220308</v>
      </c>
      <c r="L3960" t="s">
        <v>18</v>
      </c>
      <c r="M3960" t="str">
        <f>"20190715"</f>
        <v>20190715</v>
      </c>
    </row>
    <row r="3961" spans="1:13" x14ac:dyDescent="0.25">
      <c r="A3961" t="str">
        <f>"00344462"</f>
        <v>00344462</v>
      </c>
      <c r="B3961" t="s">
        <v>3524</v>
      </c>
      <c r="C3961" t="s">
        <v>44</v>
      </c>
      <c r="D3961" t="s">
        <v>61</v>
      </c>
      <c r="E3961" t="s">
        <v>26</v>
      </c>
      <c r="F3961" t="s">
        <v>17</v>
      </c>
      <c r="G3961" t="str">
        <f>"10"</f>
        <v>10</v>
      </c>
      <c r="H3961" t="str">
        <f>"3  "</f>
        <v xml:space="preserve">3  </v>
      </c>
      <c r="I3961" t="str">
        <f>"2017/04/06"</f>
        <v>2017/04/06</v>
      </c>
      <c r="J3961" t="str">
        <f>"110"</f>
        <v>110</v>
      </c>
      <c r="K3961" t="str">
        <f>"20201109"</f>
        <v>20201109</v>
      </c>
      <c r="L3961" t="s">
        <v>18</v>
      </c>
      <c r="M3961" t="str">
        <f>"20160523"</f>
        <v>20160523</v>
      </c>
    </row>
    <row r="3962" spans="1:13" x14ac:dyDescent="0.25">
      <c r="A3962" t="str">
        <f>"00411794"</f>
        <v>00411794</v>
      </c>
      <c r="B3962" t="s">
        <v>3524</v>
      </c>
      <c r="C3962" t="s">
        <v>2243</v>
      </c>
      <c r="D3962" t="s">
        <v>25</v>
      </c>
      <c r="E3962" t="s">
        <v>26</v>
      </c>
      <c r="F3962" t="s">
        <v>17</v>
      </c>
      <c r="G3962" t="str">
        <f>"10"</f>
        <v>10</v>
      </c>
      <c r="H3962" t="str">
        <f>"3  "</f>
        <v xml:space="preserve">3  </v>
      </c>
      <c r="I3962" t="str">
        <f>"2019/07/25"</f>
        <v>2019/07/25</v>
      </c>
      <c r="J3962" t="str">
        <f>"110"</f>
        <v>110</v>
      </c>
      <c r="K3962" t="str">
        <f>"20231211"</f>
        <v>20231211</v>
      </c>
      <c r="L3962" t="s">
        <v>18</v>
      </c>
      <c r="M3962" t="str">
        <f>"20190725"</f>
        <v>20190725</v>
      </c>
    </row>
    <row r="3963" spans="1:13" x14ac:dyDescent="0.25">
      <c r="A3963" t="str">
        <f>"00661617"</f>
        <v>00661617</v>
      </c>
      <c r="B3963" t="s">
        <v>3524</v>
      </c>
      <c r="C3963" t="s">
        <v>2114</v>
      </c>
      <c r="D3963" t="s">
        <v>121</v>
      </c>
      <c r="E3963" t="s">
        <v>26</v>
      </c>
      <c r="F3963" t="s">
        <v>17</v>
      </c>
      <c r="G3963" t="str">
        <f>"10"</f>
        <v>10</v>
      </c>
      <c r="H3963" t="str">
        <f>"0  "</f>
        <v xml:space="preserve">0  </v>
      </c>
      <c r="I3963" t="str">
        <f>"2020/09/18"</f>
        <v>2020/09/18</v>
      </c>
      <c r="J3963" t="str">
        <f>"420"</f>
        <v>420</v>
      </c>
      <c r="K3963" t="s">
        <v>18</v>
      </c>
      <c r="L3963" t="s">
        <v>18</v>
      </c>
      <c r="M3963" t="s">
        <v>18</v>
      </c>
    </row>
    <row r="3964" spans="1:13" x14ac:dyDescent="0.25">
      <c r="A3964" t="str">
        <f>"00914402"</f>
        <v>00914402</v>
      </c>
      <c r="B3964" t="s">
        <v>3524</v>
      </c>
      <c r="C3964" t="s">
        <v>3526</v>
      </c>
      <c r="D3964" t="s">
        <v>53</v>
      </c>
      <c r="E3964" t="s">
        <v>16</v>
      </c>
      <c r="F3964" t="s">
        <v>17</v>
      </c>
      <c r="G3964" t="str">
        <f>"10"</f>
        <v>10</v>
      </c>
      <c r="H3964" t="str">
        <f>"3  "</f>
        <v xml:space="preserve">3  </v>
      </c>
      <c r="I3964" t="str">
        <f>"2020/05/22"</f>
        <v>2020/05/22</v>
      </c>
      <c r="J3964" t="str">
        <f>"110"</f>
        <v>110</v>
      </c>
      <c r="K3964" t="str">
        <f>"20210622"</f>
        <v>20210622</v>
      </c>
      <c r="L3964" t="s">
        <v>18</v>
      </c>
      <c r="M3964" t="str">
        <f>"20190822"</f>
        <v>20190822</v>
      </c>
    </row>
    <row r="3965" spans="1:13" x14ac:dyDescent="0.25">
      <c r="A3965" t="str">
        <f>"00162755"</f>
        <v>00162755</v>
      </c>
      <c r="B3965" t="s">
        <v>3533</v>
      </c>
      <c r="C3965" t="s">
        <v>72</v>
      </c>
      <c r="D3965" t="s">
        <v>182</v>
      </c>
      <c r="E3965" t="s">
        <v>26</v>
      </c>
      <c r="F3965" t="s">
        <v>17</v>
      </c>
      <c r="G3965" t="str">
        <f>"10"</f>
        <v>10</v>
      </c>
      <c r="H3965" t="str">
        <f>"0  "</f>
        <v xml:space="preserve">0  </v>
      </c>
      <c r="I3965" t="str">
        <f>"2020/07/24"</f>
        <v>2020/07/24</v>
      </c>
      <c r="J3965" t="str">
        <f>"512"</f>
        <v>512</v>
      </c>
      <c r="K3965" t="s">
        <v>18</v>
      </c>
      <c r="L3965" t="s">
        <v>18</v>
      </c>
      <c r="M3965" t="s">
        <v>18</v>
      </c>
    </row>
    <row r="3966" spans="1:13" x14ac:dyDescent="0.25">
      <c r="A3966" t="str">
        <f>"00579257"</f>
        <v>00579257</v>
      </c>
      <c r="B3966" t="s">
        <v>3533</v>
      </c>
      <c r="C3966" t="s">
        <v>3534</v>
      </c>
      <c r="D3966" t="s">
        <v>61</v>
      </c>
      <c r="E3966" t="s">
        <v>26</v>
      </c>
      <c r="F3966" t="s">
        <v>17</v>
      </c>
      <c r="G3966" t="str">
        <f>"10"</f>
        <v>10</v>
      </c>
      <c r="H3966" t="str">
        <f>"0  "</f>
        <v xml:space="preserve">0  </v>
      </c>
      <c r="I3966" t="str">
        <f>"2020/08/28"</f>
        <v>2020/08/28</v>
      </c>
      <c r="J3966" t="str">
        <f>"430"</f>
        <v>430</v>
      </c>
      <c r="K3966" t="s">
        <v>18</v>
      </c>
      <c r="L3966" t="s">
        <v>18</v>
      </c>
      <c r="M3966" t="s">
        <v>18</v>
      </c>
    </row>
    <row r="3967" spans="1:13" x14ac:dyDescent="0.25">
      <c r="A3967" t="str">
        <f>"00311758"</f>
        <v>00311758</v>
      </c>
      <c r="B3967" t="s">
        <v>3535</v>
      </c>
      <c r="C3967" t="s">
        <v>74</v>
      </c>
      <c r="D3967" t="s">
        <v>26</v>
      </c>
      <c r="E3967" t="s">
        <v>16</v>
      </c>
      <c r="F3967" t="s">
        <v>17</v>
      </c>
      <c r="G3967" t="str">
        <f>"10"</f>
        <v>10</v>
      </c>
      <c r="H3967" t="str">
        <f>"3  "</f>
        <v xml:space="preserve">3  </v>
      </c>
      <c r="I3967" t="str">
        <f>"2017/05/30"</f>
        <v>2017/05/30</v>
      </c>
      <c r="J3967" t="str">
        <f>"110"</f>
        <v>110</v>
      </c>
      <c r="K3967" t="str">
        <f>"20220421"</f>
        <v>20220421</v>
      </c>
      <c r="L3967" t="s">
        <v>18</v>
      </c>
      <c r="M3967" t="str">
        <f>"20160825"</f>
        <v>20160825</v>
      </c>
    </row>
    <row r="3968" spans="1:13" x14ac:dyDescent="0.25">
      <c r="A3968" t="str">
        <f>"00030917"</f>
        <v>00030917</v>
      </c>
      <c r="B3968" t="s">
        <v>3539</v>
      </c>
      <c r="C3968" t="s">
        <v>358</v>
      </c>
      <c r="D3968" t="s">
        <v>215</v>
      </c>
      <c r="E3968" t="s">
        <v>16</v>
      </c>
      <c r="F3968" t="s">
        <v>17</v>
      </c>
      <c r="G3968" t="str">
        <f>"10"</f>
        <v>10</v>
      </c>
      <c r="H3968" t="str">
        <f>"0  "</f>
        <v xml:space="preserve">0  </v>
      </c>
      <c r="I3968" t="str">
        <f>"2019/10/02"</f>
        <v>2019/10/02</v>
      </c>
      <c r="J3968" t="str">
        <f>"420"</f>
        <v>420</v>
      </c>
      <c r="K3968" t="s">
        <v>18</v>
      </c>
      <c r="L3968" t="s">
        <v>18</v>
      </c>
      <c r="M3968" t="s">
        <v>18</v>
      </c>
    </row>
    <row r="3969" spans="1:13" x14ac:dyDescent="0.25">
      <c r="A3969" t="str">
        <f>"00684580"</f>
        <v>00684580</v>
      </c>
      <c r="B3969" t="s">
        <v>3540</v>
      </c>
      <c r="C3969" t="s">
        <v>308</v>
      </c>
      <c r="D3969" t="s">
        <v>25</v>
      </c>
      <c r="E3969" t="s">
        <v>26</v>
      </c>
      <c r="F3969" t="s">
        <v>17</v>
      </c>
      <c r="G3969" t="str">
        <f>"10"</f>
        <v>10</v>
      </c>
      <c r="H3969" t="str">
        <f>"3  "</f>
        <v xml:space="preserve">3  </v>
      </c>
      <c r="I3969" t="str">
        <f>"2018/12/20"</f>
        <v>2018/12/20</v>
      </c>
      <c r="J3969" t="str">
        <f>"110"</f>
        <v>110</v>
      </c>
      <c r="K3969" t="str">
        <f>"20230322"</f>
        <v>20230322</v>
      </c>
      <c r="L3969" t="s">
        <v>18</v>
      </c>
      <c r="M3969" t="str">
        <f>"20181119"</f>
        <v>20181119</v>
      </c>
    </row>
    <row r="3970" spans="1:13" x14ac:dyDescent="0.25">
      <c r="A3970" t="str">
        <f>"00411180"</f>
        <v>00411180</v>
      </c>
      <c r="B3970" t="s">
        <v>3548</v>
      </c>
      <c r="C3970" t="s">
        <v>96</v>
      </c>
      <c r="D3970" t="s">
        <v>45</v>
      </c>
      <c r="E3970" t="s">
        <v>26</v>
      </c>
      <c r="F3970" t="s">
        <v>17</v>
      </c>
      <c r="G3970" t="str">
        <f>"10"</f>
        <v>10</v>
      </c>
      <c r="H3970" t="str">
        <f>"3  "</f>
        <v xml:space="preserve">3  </v>
      </c>
      <c r="I3970" t="str">
        <f>"2018/06/18"</f>
        <v>2018/06/18</v>
      </c>
      <c r="J3970" t="str">
        <f>"110"</f>
        <v>110</v>
      </c>
      <c r="K3970" t="str">
        <f>"20220818"</f>
        <v>20220818</v>
      </c>
      <c r="L3970" t="s">
        <v>18</v>
      </c>
      <c r="M3970" t="str">
        <f>"20180616"</f>
        <v>20180616</v>
      </c>
    </row>
    <row r="3971" spans="1:13" x14ac:dyDescent="0.25">
      <c r="A3971" t="str">
        <f>"00177085"</f>
        <v>00177085</v>
      </c>
      <c r="B3971" t="s">
        <v>3553</v>
      </c>
      <c r="C3971" t="s">
        <v>3555</v>
      </c>
      <c r="D3971" t="s">
        <v>26</v>
      </c>
      <c r="E3971" t="s">
        <v>26</v>
      </c>
      <c r="F3971" t="s">
        <v>17</v>
      </c>
      <c r="G3971" t="str">
        <f>"10"</f>
        <v>10</v>
      </c>
      <c r="H3971" t="str">
        <f>"0  "</f>
        <v xml:space="preserve">0  </v>
      </c>
      <c r="I3971" t="str">
        <f>"2020/08/24"</f>
        <v>2020/08/24</v>
      </c>
      <c r="J3971" t="str">
        <f>"420"</f>
        <v>420</v>
      </c>
      <c r="K3971" t="s">
        <v>18</v>
      </c>
      <c r="L3971" t="s">
        <v>18</v>
      </c>
      <c r="M3971" t="s">
        <v>18</v>
      </c>
    </row>
    <row r="3972" spans="1:13" x14ac:dyDescent="0.25">
      <c r="A3972" t="str">
        <f>"00389050"</f>
        <v>00389050</v>
      </c>
      <c r="B3972" t="s">
        <v>3558</v>
      </c>
      <c r="C3972" t="s">
        <v>150</v>
      </c>
      <c r="D3972" t="s">
        <v>37</v>
      </c>
      <c r="E3972" t="s">
        <v>16</v>
      </c>
      <c r="F3972" t="s">
        <v>17</v>
      </c>
      <c r="G3972" t="str">
        <f>"10"</f>
        <v>10</v>
      </c>
      <c r="H3972" t="str">
        <f>"3  "</f>
        <v xml:space="preserve">3  </v>
      </c>
      <c r="I3972" t="str">
        <f>"2020/09/16"</f>
        <v>2020/09/16</v>
      </c>
      <c r="J3972" t="str">
        <f>"502"</f>
        <v>502</v>
      </c>
      <c r="K3972" t="str">
        <f>"20210502"</f>
        <v>20210502</v>
      </c>
      <c r="L3972" t="s">
        <v>18</v>
      </c>
      <c r="M3972" t="str">
        <f>"20180807"</f>
        <v>20180807</v>
      </c>
    </row>
    <row r="3973" spans="1:13" x14ac:dyDescent="0.25">
      <c r="A3973" t="str">
        <f>"00559568"</f>
        <v>00559568</v>
      </c>
      <c r="B3973" t="s">
        <v>3558</v>
      </c>
      <c r="C3973" t="s">
        <v>755</v>
      </c>
      <c r="D3973" t="s">
        <v>25</v>
      </c>
      <c r="E3973" t="s">
        <v>16</v>
      </c>
      <c r="F3973" t="s">
        <v>17</v>
      </c>
      <c r="G3973" t="str">
        <f>"10"</f>
        <v>10</v>
      </c>
      <c r="H3973" t="str">
        <f>"3  "</f>
        <v xml:space="preserve">3  </v>
      </c>
      <c r="I3973" t="str">
        <f>"2019/10/01"</f>
        <v>2019/10/01</v>
      </c>
      <c r="J3973" t="str">
        <f>"110"</f>
        <v>110</v>
      </c>
      <c r="K3973" t="str">
        <f>"20230827"</f>
        <v>20230827</v>
      </c>
      <c r="L3973" t="s">
        <v>18</v>
      </c>
      <c r="M3973" t="str">
        <f>"20190219"</f>
        <v>20190219</v>
      </c>
    </row>
    <row r="3974" spans="1:13" x14ac:dyDescent="0.25">
      <c r="A3974" t="str">
        <f>"00788843"</f>
        <v>00788843</v>
      </c>
      <c r="B3974" t="s">
        <v>3559</v>
      </c>
      <c r="C3974" t="s">
        <v>74</v>
      </c>
      <c r="D3974" t="s">
        <v>45</v>
      </c>
      <c r="E3974" t="s">
        <v>26</v>
      </c>
      <c r="F3974" t="s">
        <v>17</v>
      </c>
      <c r="G3974" t="str">
        <f>"10"</f>
        <v>10</v>
      </c>
      <c r="H3974" t="str">
        <f>"0  "</f>
        <v xml:space="preserve">0  </v>
      </c>
      <c r="I3974" t="str">
        <f>"2020/07/02"</f>
        <v>2020/07/02</v>
      </c>
      <c r="J3974" t="str">
        <f>"420"</f>
        <v>420</v>
      </c>
      <c r="K3974" t="s">
        <v>18</v>
      </c>
      <c r="L3974" t="s">
        <v>18</v>
      </c>
      <c r="M3974" t="s">
        <v>18</v>
      </c>
    </row>
    <row r="3975" spans="1:13" x14ac:dyDescent="0.25">
      <c r="A3975" t="str">
        <f>"00586163"</f>
        <v>00586163</v>
      </c>
      <c r="B3975" t="s">
        <v>3567</v>
      </c>
      <c r="C3975" t="s">
        <v>3568</v>
      </c>
      <c r="D3975" t="s">
        <v>91</v>
      </c>
      <c r="E3975" t="s">
        <v>26</v>
      </c>
      <c r="F3975" t="s">
        <v>17</v>
      </c>
      <c r="G3975" t="str">
        <f>"10"</f>
        <v>10</v>
      </c>
      <c r="H3975" t="str">
        <f>"0  "</f>
        <v xml:space="preserve">0  </v>
      </c>
      <c r="I3975" t="str">
        <f>"2019/08/02"</f>
        <v>2019/08/02</v>
      </c>
      <c r="J3975" t="str">
        <f>"420"</f>
        <v>420</v>
      </c>
      <c r="K3975" t="s">
        <v>18</v>
      </c>
      <c r="L3975" t="s">
        <v>18</v>
      </c>
      <c r="M3975" t="s">
        <v>18</v>
      </c>
    </row>
    <row r="3976" spans="1:13" x14ac:dyDescent="0.25">
      <c r="A3976" t="str">
        <f>"00400725"</f>
        <v>00400725</v>
      </c>
      <c r="B3976" t="s">
        <v>3571</v>
      </c>
      <c r="C3976" t="s">
        <v>49</v>
      </c>
      <c r="D3976" t="s">
        <v>80</v>
      </c>
      <c r="E3976" t="s">
        <v>26</v>
      </c>
      <c r="F3976" t="s">
        <v>17</v>
      </c>
      <c r="G3976" t="str">
        <f>"10"</f>
        <v>10</v>
      </c>
      <c r="H3976" t="str">
        <f>"3  "</f>
        <v xml:space="preserve">3  </v>
      </c>
      <c r="I3976" t="str">
        <f>"2017/02/27"</f>
        <v>2017/02/27</v>
      </c>
      <c r="J3976" t="str">
        <f>"110"</f>
        <v>110</v>
      </c>
      <c r="K3976" t="str">
        <f>"20210603"</f>
        <v>20210603</v>
      </c>
      <c r="L3976" t="s">
        <v>18</v>
      </c>
      <c r="M3976" t="str">
        <f>"20160405"</f>
        <v>20160405</v>
      </c>
    </row>
    <row r="3977" spans="1:13" x14ac:dyDescent="0.25">
      <c r="A3977" t="str">
        <f>"00567171"</f>
        <v>00567171</v>
      </c>
      <c r="B3977" t="s">
        <v>3571</v>
      </c>
      <c r="C3977" t="s">
        <v>2491</v>
      </c>
      <c r="D3977" t="s">
        <v>25</v>
      </c>
      <c r="E3977" t="s">
        <v>16</v>
      </c>
      <c r="F3977" t="s">
        <v>17</v>
      </c>
      <c r="G3977" t="str">
        <f>"10"</f>
        <v>10</v>
      </c>
      <c r="H3977" t="str">
        <f>"1  "</f>
        <v xml:space="preserve">1  </v>
      </c>
      <c r="I3977" t="str">
        <f>"2020/07/14"</f>
        <v>2020/07/14</v>
      </c>
      <c r="J3977" t="str">
        <f>"120"</f>
        <v>120</v>
      </c>
      <c r="K3977" t="str">
        <f>"20200924"</f>
        <v>20200924</v>
      </c>
      <c r="L3977" t="s">
        <v>18</v>
      </c>
      <c r="M3977" t="str">
        <f>"20200701"</f>
        <v>20200701</v>
      </c>
    </row>
    <row r="3978" spans="1:13" x14ac:dyDescent="0.25">
      <c r="A3978" t="str">
        <f>"00621863"</f>
        <v>00621863</v>
      </c>
      <c r="B3978" t="s">
        <v>3571</v>
      </c>
      <c r="C3978" t="s">
        <v>251</v>
      </c>
      <c r="D3978" t="s">
        <v>80</v>
      </c>
      <c r="E3978" t="s">
        <v>26</v>
      </c>
      <c r="F3978" t="s">
        <v>17</v>
      </c>
      <c r="G3978" t="str">
        <f>"10"</f>
        <v>10</v>
      </c>
      <c r="H3978" t="str">
        <f>"3  "</f>
        <v xml:space="preserve">3  </v>
      </c>
      <c r="I3978" t="str">
        <f>"2016/07/08"</f>
        <v>2016/07/08</v>
      </c>
      <c r="J3978" t="str">
        <f>"110"</f>
        <v>110</v>
      </c>
      <c r="K3978" t="str">
        <f>"20220210"</f>
        <v>20220210</v>
      </c>
      <c r="L3978" t="s">
        <v>18</v>
      </c>
      <c r="M3978" t="str">
        <f>"20150526"</f>
        <v>20150526</v>
      </c>
    </row>
    <row r="3979" spans="1:13" x14ac:dyDescent="0.25">
      <c r="A3979" t="str">
        <f>"00551151"</f>
        <v>00551151</v>
      </c>
      <c r="B3979" t="s">
        <v>3580</v>
      </c>
      <c r="C3979" t="s">
        <v>3581</v>
      </c>
      <c r="D3979" t="s">
        <v>80</v>
      </c>
      <c r="E3979" t="s">
        <v>26</v>
      </c>
      <c r="F3979" t="s">
        <v>17</v>
      </c>
      <c r="G3979" t="str">
        <f>"10"</f>
        <v>10</v>
      </c>
      <c r="H3979" t="str">
        <f>"0  "</f>
        <v xml:space="preserve">0  </v>
      </c>
      <c r="I3979" t="str">
        <f>"2020/01/27"</f>
        <v>2020/01/27</v>
      </c>
      <c r="J3979" t="str">
        <f>"502"</f>
        <v>502</v>
      </c>
      <c r="K3979" t="s">
        <v>18</v>
      </c>
      <c r="L3979" t="s">
        <v>18</v>
      </c>
      <c r="M3979" t="s">
        <v>18</v>
      </c>
    </row>
    <row r="3980" spans="1:13" x14ac:dyDescent="0.25">
      <c r="A3980" t="str">
        <f>"00575363"</f>
        <v>00575363</v>
      </c>
      <c r="B3980" t="s">
        <v>3584</v>
      </c>
      <c r="C3980" t="s">
        <v>353</v>
      </c>
      <c r="D3980" t="s">
        <v>61</v>
      </c>
      <c r="E3980" t="s">
        <v>26</v>
      </c>
      <c r="F3980" t="s">
        <v>17</v>
      </c>
      <c r="G3980" t="str">
        <f>"10"</f>
        <v>10</v>
      </c>
      <c r="H3980" t="str">
        <f>"0  "</f>
        <v xml:space="preserve">0  </v>
      </c>
      <c r="I3980" t="str">
        <f>"2020/01/27"</f>
        <v>2020/01/27</v>
      </c>
      <c r="J3980" t="str">
        <f>"420"</f>
        <v>420</v>
      </c>
      <c r="K3980" t="s">
        <v>18</v>
      </c>
      <c r="L3980" t="s">
        <v>18</v>
      </c>
      <c r="M3980" t="s">
        <v>18</v>
      </c>
    </row>
    <row r="3981" spans="1:13" x14ac:dyDescent="0.25">
      <c r="A3981" t="str">
        <f>"00401050"</f>
        <v>00401050</v>
      </c>
      <c r="B3981" t="s">
        <v>3586</v>
      </c>
      <c r="C3981" t="s">
        <v>3587</v>
      </c>
      <c r="D3981" t="s">
        <v>25</v>
      </c>
      <c r="E3981" t="s">
        <v>26</v>
      </c>
      <c r="F3981" t="s">
        <v>17</v>
      </c>
      <c r="G3981" t="str">
        <f>"10"</f>
        <v>10</v>
      </c>
      <c r="H3981" t="str">
        <f>"3  "</f>
        <v xml:space="preserve">3  </v>
      </c>
      <c r="I3981" t="str">
        <f>"2020/01/28"</f>
        <v>2020/01/28</v>
      </c>
      <c r="J3981" t="str">
        <f>"120"</f>
        <v>120</v>
      </c>
      <c r="K3981" t="str">
        <f>"20211208"</f>
        <v>20211208</v>
      </c>
      <c r="L3981" t="s">
        <v>18</v>
      </c>
      <c r="M3981" t="str">
        <f>"20190827"</f>
        <v>20190827</v>
      </c>
    </row>
    <row r="3982" spans="1:13" x14ac:dyDescent="0.25">
      <c r="A3982" t="str">
        <f>"00445426"</f>
        <v>00445426</v>
      </c>
      <c r="B3982" t="s">
        <v>3589</v>
      </c>
      <c r="C3982" t="s">
        <v>417</v>
      </c>
      <c r="D3982" t="s">
        <v>91</v>
      </c>
      <c r="E3982" t="s">
        <v>26</v>
      </c>
      <c r="F3982" t="s">
        <v>17</v>
      </c>
      <c r="G3982" t="str">
        <f>"10"</f>
        <v>10</v>
      </c>
      <c r="H3982" t="str">
        <f>"3  "</f>
        <v xml:space="preserve">3  </v>
      </c>
      <c r="I3982" t="str">
        <f>"2018/10/02"</f>
        <v>2018/10/02</v>
      </c>
      <c r="J3982" t="str">
        <f>"110"</f>
        <v>110</v>
      </c>
      <c r="K3982" t="str">
        <f>"20231114"</f>
        <v>20231114</v>
      </c>
      <c r="L3982" t="s">
        <v>18</v>
      </c>
      <c r="M3982" t="str">
        <f>"20171105"</f>
        <v>20171105</v>
      </c>
    </row>
    <row r="3983" spans="1:13" x14ac:dyDescent="0.25">
      <c r="A3983" t="str">
        <f>"00735897"</f>
        <v>00735897</v>
      </c>
      <c r="B3983" t="s">
        <v>3593</v>
      </c>
      <c r="C3983" t="s">
        <v>176</v>
      </c>
      <c r="D3983" t="s">
        <v>16</v>
      </c>
      <c r="E3983" t="s">
        <v>16</v>
      </c>
      <c r="F3983" t="s">
        <v>17</v>
      </c>
      <c r="G3983" t="str">
        <f>"10"</f>
        <v>10</v>
      </c>
      <c r="H3983" t="str">
        <f>"0  "</f>
        <v xml:space="preserve">0  </v>
      </c>
      <c r="I3983" t="str">
        <f>"2020/02/25"</f>
        <v>2020/02/25</v>
      </c>
      <c r="J3983" t="str">
        <f>"420"</f>
        <v>420</v>
      </c>
      <c r="K3983" t="s">
        <v>18</v>
      </c>
      <c r="L3983" t="s">
        <v>18</v>
      </c>
      <c r="M3983" t="s">
        <v>18</v>
      </c>
    </row>
    <row r="3984" spans="1:13" x14ac:dyDescent="0.25">
      <c r="A3984" t="str">
        <f>"00673772"</f>
        <v>00673772</v>
      </c>
      <c r="B3984" t="s">
        <v>3594</v>
      </c>
      <c r="C3984" t="s">
        <v>3595</v>
      </c>
      <c r="D3984" t="s">
        <v>91</v>
      </c>
      <c r="E3984" t="s">
        <v>26</v>
      </c>
      <c r="F3984" t="s">
        <v>17</v>
      </c>
      <c r="G3984" t="str">
        <f>"10"</f>
        <v>10</v>
      </c>
      <c r="H3984" t="str">
        <f>"3  "</f>
        <v xml:space="preserve">3  </v>
      </c>
      <c r="I3984" t="str">
        <f>"2020/05/12"</f>
        <v>2020/05/12</v>
      </c>
      <c r="J3984" t="str">
        <f>"110"</f>
        <v>110</v>
      </c>
      <c r="K3984" t="str">
        <f>"20210920"</f>
        <v>20210920</v>
      </c>
      <c r="L3984" t="s">
        <v>18</v>
      </c>
      <c r="M3984" t="str">
        <f>"20191120"</f>
        <v>20191120</v>
      </c>
    </row>
    <row r="3985" spans="1:13" x14ac:dyDescent="0.25">
      <c r="A3985" t="str">
        <f>"00608881"</f>
        <v>00608881</v>
      </c>
      <c r="B3985" t="s">
        <v>3597</v>
      </c>
      <c r="C3985" t="s">
        <v>3598</v>
      </c>
      <c r="D3985" t="s">
        <v>25</v>
      </c>
      <c r="E3985" t="s">
        <v>26</v>
      </c>
      <c r="F3985" t="s">
        <v>17</v>
      </c>
      <c r="G3985" t="str">
        <f>"10"</f>
        <v>10</v>
      </c>
      <c r="H3985" t="str">
        <f>"0  "</f>
        <v xml:space="preserve">0  </v>
      </c>
      <c r="I3985" t="str">
        <f>"2019/06/02"</f>
        <v>2019/06/02</v>
      </c>
      <c r="J3985" t="str">
        <f>"420"</f>
        <v>420</v>
      </c>
      <c r="K3985" t="s">
        <v>18</v>
      </c>
      <c r="L3985" t="s">
        <v>18</v>
      </c>
      <c r="M3985" t="s">
        <v>18</v>
      </c>
    </row>
    <row r="3986" spans="1:13" x14ac:dyDescent="0.25">
      <c r="A3986" t="str">
        <f>"00343524"</f>
        <v>00343524</v>
      </c>
      <c r="B3986" t="s">
        <v>3597</v>
      </c>
      <c r="C3986" t="s">
        <v>118</v>
      </c>
      <c r="D3986" t="s">
        <v>45</v>
      </c>
      <c r="E3986" t="s">
        <v>26</v>
      </c>
      <c r="F3986" t="s">
        <v>17</v>
      </c>
      <c r="G3986" t="str">
        <f>"10"</f>
        <v>10</v>
      </c>
      <c r="H3986" t="str">
        <f>"0  "</f>
        <v xml:space="preserve">0  </v>
      </c>
      <c r="I3986" t="str">
        <f>"2020/09/11"</f>
        <v>2020/09/11</v>
      </c>
      <c r="J3986" t="str">
        <f>"420"</f>
        <v>420</v>
      </c>
      <c r="K3986" t="s">
        <v>18</v>
      </c>
      <c r="L3986" t="s">
        <v>18</v>
      </c>
      <c r="M3986" t="s">
        <v>18</v>
      </c>
    </row>
    <row r="3987" spans="1:13" x14ac:dyDescent="0.25">
      <c r="A3987" t="str">
        <f>"00821490"</f>
        <v>00821490</v>
      </c>
      <c r="B3987" t="s">
        <v>3597</v>
      </c>
      <c r="C3987" t="s">
        <v>1028</v>
      </c>
      <c r="D3987" t="s">
        <v>25</v>
      </c>
      <c r="E3987" t="s">
        <v>26</v>
      </c>
      <c r="F3987" t="s">
        <v>17</v>
      </c>
      <c r="G3987" t="str">
        <f>"10"</f>
        <v>10</v>
      </c>
      <c r="H3987" t="str">
        <f>"3  "</f>
        <v xml:space="preserve">3  </v>
      </c>
      <c r="I3987" t="str">
        <f>"2019/04/29"</f>
        <v>2019/04/29</v>
      </c>
      <c r="J3987" t="str">
        <f>"110"</f>
        <v>110</v>
      </c>
      <c r="K3987" t="str">
        <f>"20201118"</f>
        <v>20201118</v>
      </c>
      <c r="L3987" t="s">
        <v>18</v>
      </c>
      <c r="M3987" t="str">
        <f>"20180831"</f>
        <v>20180831</v>
      </c>
    </row>
    <row r="3988" spans="1:13" x14ac:dyDescent="0.25">
      <c r="A3988" t="str">
        <f>"00312300"</f>
        <v>00312300</v>
      </c>
      <c r="B3988" t="s">
        <v>3597</v>
      </c>
      <c r="C3988" t="s">
        <v>3601</v>
      </c>
      <c r="D3988" t="s">
        <v>61</v>
      </c>
      <c r="E3988" t="s">
        <v>26</v>
      </c>
      <c r="F3988" t="s">
        <v>17</v>
      </c>
      <c r="G3988" t="str">
        <f>"10"</f>
        <v>10</v>
      </c>
      <c r="H3988" t="str">
        <f>"3  "</f>
        <v xml:space="preserve">3  </v>
      </c>
      <c r="I3988" t="str">
        <f>"2019/09/27"</f>
        <v>2019/09/27</v>
      </c>
      <c r="J3988" t="str">
        <f>"503"</f>
        <v>503</v>
      </c>
      <c r="K3988" t="str">
        <f>"20330307"</f>
        <v>20330307</v>
      </c>
      <c r="L3988" t="s">
        <v>18</v>
      </c>
      <c r="M3988" t="str">
        <f>"20190826"</f>
        <v>20190826</v>
      </c>
    </row>
    <row r="3989" spans="1:13" x14ac:dyDescent="0.25">
      <c r="A3989" t="str">
        <f>"00861641"</f>
        <v>00861641</v>
      </c>
      <c r="B3989" t="s">
        <v>3597</v>
      </c>
      <c r="C3989" t="s">
        <v>3602</v>
      </c>
      <c r="D3989" t="s">
        <v>31</v>
      </c>
      <c r="E3989" t="s">
        <v>26</v>
      </c>
      <c r="F3989" t="s">
        <v>17</v>
      </c>
      <c r="G3989" t="str">
        <f>"10"</f>
        <v>10</v>
      </c>
      <c r="H3989" t="str">
        <f>"3  "</f>
        <v xml:space="preserve">3  </v>
      </c>
      <c r="I3989" t="str">
        <f>"2019/11/06"</f>
        <v>2019/11/06</v>
      </c>
      <c r="J3989" t="str">
        <f>"110"</f>
        <v>110</v>
      </c>
      <c r="K3989" t="str">
        <f>"20210221"</f>
        <v>20210221</v>
      </c>
      <c r="L3989" t="s">
        <v>18</v>
      </c>
      <c r="M3989" t="str">
        <f>"20191106"</f>
        <v>20191106</v>
      </c>
    </row>
    <row r="3990" spans="1:13" x14ac:dyDescent="0.25">
      <c r="A3990" t="str">
        <f>"00782452"</f>
        <v>00782452</v>
      </c>
      <c r="B3990" t="s">
        <v>3597</v>
      </c>
      <c r="C3990" t="s">
        <v>3604</v>
      </c>
      <c r="D3990" t="s">
        <v>21</v>
      </c>
      <c r="E3990" t="s">
        <v>26</v>
      </c>
      <c r="F3990" t="s">
        <v>17</v>
      </c>
      <c r="G3990" t="str">
        <f>"10"</f>
        <v>10</v>
      </c>
      <c r="H3990" t="str">
        <f>"1  "</f>
        <v xml:space="preserve">1  </v>
      </c>
      <c r="I3990" t="str">
        <f>"2020/03/10"</f>
        <v>2020/03/10</v>
      </c>
      <c r="J3990" t="str">
        <f>"110"</f>
        <v>110</v>
      </c>
      <c r="K3990" t="str">
        <f>"20210212"</f>
        <v>20210212</v>
      </c>
      <c r="L3990" t="s">
        <v>18</v>
      </c>
      <c r="M3990" t="str">
        <f>"20200310"</f>
        <v>20200310</v>
      </c>
    </row>
    <row r="3991" spans="1:13" x14ac:dyDescent="0.25">
      <c r="A3991" t="str">
        <f>"00282442"</f>
        <v>00282442</v>
      </c>
      <c r="B3991" t="s">
        <v>3597</v>
      </c>
      <c r="C3991" t="s">
        <v>3606</v>
      </c>
      <c r="D3991" t="s">
        <v>15</v>
      </c>
      <c r="E3991" t="s">
        <v>16</v>
      </c>
      <c r="F3991" t="s">
        <v>17</v>
      </c>
      <c r="G3991" t="str">
        <f>"10"</f>
        <v>10</v>
      </c>
      <c r="H3991" t="str">
        <f>"3  "</f>
        <v xml:space="preserve">3  </v>
      </c>
      <c r="I3991" t="str">
        <f>"2019/07/17"</f>
        <v>2019/07/17</v>
      </c>
      <c r="J3991" t="str">
        <f>"120"</f>
        <v>120</v>
      </c>
      <c r="K3991" t="str">
        <f>"20201216"</f>
        <v>20201216</v>
      </c>
      <c r="L3991" t="s">
        <v>18</v>
      </c>
      <c r="M3991" t="str">
        <f>"20190716"</f>
        <v>20190716</v>
      </c>
    </row>
    <row r="3992" spans="1:13" x14ac:dyDescent="0.25">
      <c r="A3992" t="str">
        <f>"00434317"</f>
        <v>00434317</v>
      </c>
      <c r="B3992" t="s">
        <v>3597</v>
      </c>
      <c r="C3992" t="s">
        <v>408</v>
      </c>
      <c r="D3992" t="s">
        <v>31</v>
      </c>
      <c r="E3992" t="s">
        <v>26</v>
      </c>
      <c r="F3992" t="s">
        <v>17</v>
      </c>
      <c r="G3992" t="str">
        <f>"10"</f>
        <v>10</v>
      </c>
      <c r="H3992" t="str">
        <f>"3  "</f>
        <v xml:space="preserve">3  </v>
      </c>
      <c r="I3992" t="str">
        <f>"2015/11/18"</f>
        <v>2015/11/18</v>
      </c>
      <c r="J3992" t="str">
        <f>"110"</f>
        <v>110</v>
      </c>
      <c r="K3992" t="str">
        <f>"20220318"</f>
        <v>20220318</v>
      </c>
      <c r="L3992" t="s">
        <v>18</v>
      </c>
      <c r="M3992" t="str">
        <f>"20150723"</f>
        <v>20150723</v>
      </c>
    </row>
    <row r="3993" spans="1:13" x14ac:dyDescent="0.25">
      <c r="A3993" t="str">
        <f>"00624348"</f>
        <v>00624348</v>
      </c>
      <c r="B3993" t="s">
        <v>3610</v>
      </c>
      <c r="C3993" t="s">
        <v>3611</v>
      </c>
      <c r="D3993" t="s">
        <v>53</v>
      </c>
      <c r="E3993" t="s">
        <v>26</v>
      </c>
      <c r="F3993" t="s">
        <v>17</v>
      </c>
      <c r="G3993" t="str">
        <f>"10"</f>
        <v>10</v>
      </c>
      <c r="H3993" t="str">
        <f>"3  "</f>
        <v xml:space="preserve">3  </v>
      </c>
      <c r="I3993" t="str">
        <f>"2017/09/12"</f>
        <v>2017/09/12</v>
      </c>
      <c r="J3993" t="str">
        <f>"110"</f>
        <v>110</v>
      </c>
      <c r="K3993" t="str">
        <f>"20210720"</f>
        <v>20210720</v>
      </c>
      <c r="L3993" t="s">
        <v>18</v>
      </c>
      <c r="M3993" t="str">
        <f>"20170607"</f>
        <v>20170607</v>
      </c>
    </row>
    <row r="3994" spans="1:13" x14ac:dyDescent="0.25">
      <c r="A3994" t="str">
        <f>"00836700"</f>
        <v>00836700</v>
      </c>
      <c r="B3994" t="s">
        <v>3626</v>
      </c>
      <c r="C3994" t="s">
        <v>2341</v>
      </c>
      <c r="D3994" t="s">
        <v>25</v>
      </c>
      <c r="E3994" t="s">
        <v>16</v>
      </c>
      <c r="F3994" t="s">
        <v>17</v>
      </c>
      <c r="G3994" t="str">
        <f>"10"</f>
        <v>10</v>
      </c>
      <c r="H3994" t="str">
        <f>"3  "</f>
        <v xml:space="preserve">3  </v>
      </c>
      <c r="I3994" t="str">
        <f>"2017/11/13"</f>
        <v>2017/11/13</v>
      </c>
      <c r="J3994" t="str">
        <f>"110"</f>
        <v>110</v>
      </c>
      <c r="K3994" t="str">
        <f>"20210327"</f>
        <v>20210327</v>
      </c>
      <c r="L3994" t="s">
        <v>18</v>
      </c>
      <c r="M3994" t="str">
        <f>"20171102"</f>
        <v>20171102</v>
      </c>
    </row>
    <row r="3995" spans="1:13" x14ac:dyDescent="0.25">
      <c r="A3995" t="str">
        <f>"00744947"</f>
        <v>00744947</v>
      </c>
      <c r="B3995" t="s">
        <v>3627</v>
      </c>
      <c r="C3995" t="s">
        <v>66</v>
      </c>
      <c r="D3995" t="s">
        <v>51</v>
      </c>
      <c r="E3995" t="s">
        <v>16</v>
      </c>
      <c r="F3995" t="s">
        <v>17</v>
      </c>
      <c r="G3995" t="str">
        <f>"10"</f>
        <v>10</v>
      </c>
      <c r="H3995" t="str">
        <f>"0  "</f>
        <v xml:space="preserve">0  </v>
      </c>
      <c r="I3995" t="str">
        <f>"2019/11/22"</f>
        <v>2019/11/22</v>
      </c>
      <c r="J3995" t="str">
        <f>"420"</f>
        <v>420</v>
      </c>
      <c r="K3995" t="s">
        <v>18</v>
      </c>
      <c r="L3995" t="s">
        <v>18</v>
      </c>
      <c r="M3995" t="s">
        <v>18</v>
      </c>
    </row>
    <row r="3996" spans="1:13" x14ac:dyDescent="0.25">
      <c r="A3996" t="str">
        <f>"00174970"</f>
        <v>00174970</v>
      </c>
      <c r="B3996" t="s">
        <v>3628</v>
      </c>
      <c r="C3996" t="s">
        <v>3629</v>
      </c>
      <c r="D3996" t="s">
        <v>182</v>
      </c>
      <c r="E3996" t="s">
        <v>26</v>
      </c>
      <c r="F3996" t="s">
        <v>17</v>
      </c>
      <c r="G3996" t="str">
        <f>"10"</f>
        <v>10</v>
      </c>
      <c r="H3996" t="str">
        <f>"3  "</f>
        <v xml:space="preserve">3  </v>
      </c>
      <c r="I3996" t="str">
        <f>"2016/10/14"</f>
        <v>2016/10/14</v>
      </c>
      <c r="J3996" t="str">
        <f>"110"</f>
        <v>110</v>
      </c>
      <c r="K3996" t="str">
        <f>"20240628"</f>
        <v>20240628</v>
      </c>
      <c r="L3996" t="s">
        <v>18</v>
      </c>
      <c r="M3996" t="str">
        <f>"20151128"</f>
        <v>20151128</v>
      </c>
    </row>
    <row r="3997" spans="1:13" x14ac:dyDescent="0.25">
      <c r="A3997" t="str">
        <f>"00485524"</f>
        <v>00485524</v>
      </c>
      <c r="B3997" t="s">
        <v>3631</v>
      </c>
      <c r="C3997" t="s">
        <v>180</v>
      </c>
      <c r="D3997" t="s">
        <v>25</v>
      </c>
      <c r="E3997" t="s">
        <v>16</v>
      </c>
      <c r="F3997" t="s">
        <v>17</v>
      </c>
      <c r="G3997" t="str">
        <f>"10"</f>
        <v>10</v>
      </c>
      <c r="H3997" t="str">
        <f>"3  "</f>
        <v xml:space="preserve">3  </v>
      </c>
      <c r="I3997" t="str">
        <f>"2020/03/27"</f>
        <v>2020/03/27</v>
      </c>
      <c r="J3997" t="str">
        <f>"110"</f>
        <v>110</v>
      </c>
      <c r="K3997" t="str">
        <f>"20220627"</f>
        <v>20220627</v>
      </c>
      <c r="L3997" t="s">
        <v>18</v>
      </c>
      <c r="M3997" t="str">
        <f>"20191012"</f>
        <v>20191012</v>
      </c>
    </row>
    <row r="3998" spans="1:13" x14ac:dyDescent="0.25">
      <c r="A3998" t="str">
        <f>"00875878"</f>
        <v>00875878</v>
      </c>
      <c r="B3998" t="s">
        <v>3633</v>
      </c>
      <c r="C3998" t="s">
        <v>3634</v>
      </c>
      <c r="D3998" t="s">
        <v>61</v>
      </c>
      <c r="E3998" t="s">
        <v>16</v>
      </c>
      <c r="F3998" t="s">
        <v>17</v>
      </c>
      <c r="G3998" t="str">
        <f>"10"</f>
        <v>10</v>
      </c>
      <c r="H3998" t="str">
        <f>"3  "</f>
        <v xml:space="preserve">3  </v>
      </c>
      <c r="I3998" t="str">
        <f>"2019/05/06"</f>
        <v>2019/05/06</v>
      </c>
      <c r="J3998" t="str">
        <f>"110"</f>
        <v>110</v>
      </c>
      <c r="K3998" t="str">
        <f>"20210328"</f>
        <v>20210328</v>
      </c>
      <c r="L3998" t="s">
        <v>18</v>
      </c>
      <c r="M3998" t="str">
        <f>"20180310"</f>
        <v>20180310</v>
      </c>
    </row>
    <row r="3999" spans="1:13" x14ac:dyDescent="0.25">
      <c r="A3999" t="str">
        <f>"00781874"</f>
        <v>00781874</v>
      </c>
      <c r="B3999" t="s">
        <v>3635</v>
      </c>
      <c r="C3999" t="s">
        <v>3636</v>
      </c>
      <c r="D3999" t="s">
        <v>25</v>
      </c>
      <c r="E3999" t="s">
        <v>26</v>
      </c>
      <c r="F3999" t="s">
        <v>17</v>
      </c>
      <c r="G3999" t="str">
        <f>"10"</f>
        <v>10</v>
      </c>
      <c r="H3999" t="str">
        <f>"3  "</f>
        <v xml:space="preserve">3  </v>
      </c>
      <c r="I3999" t="str">
        <f>"2020/07/31"</f>
        <v>2020/07/31</v>
      </c>
      <c r="J3999" t="str">
        <f>"110"</f>
        <v>110</v>
      </c>
      <c r="K3999" t="str">
        <f>"20230527"</f>
        <v>20230527</v>
      </c>
      <c r="L3999" t="s">
        <v>18</v>
      </c>
      <c r="M3999" t="str">
        <f>"20181120"</f>
        <v>20181120</v>
      </c>
    </row>
    <row r="4000" spans="1:13" x14ac:dyDescent="0.25">
      <c r="A4000" t="str">
        <f>"00506104"</f>
        <v>00506104</v>
      </c>
      <c r="B4000" t="s">
        <v>3635</v>
      </c>
      <c r="C4000" t="s">
        <v>115</v>
      </c>
      <c r="D4000" t="s">
        <v>51</v>
      </c>
      <c r="E4000" t="s">
        <v>26</v>
      </c>
      <c r="F4000" t="s">
        <v>17</v>
      </c>
      <c r="G4000" t="str">
        <f>"10"</f>
        <v>10</v>
      </c>
      <c r="H4000" t="str">
        <f>"0  "</f>
        <v xml:space="preserve">0  </v>
      </c>
      <c r="I4000" t="str">
        <f>"2020/07/29"</f>
        <v>2020/07/29</v>
      </c>
      <c r="J4000" t="str">
        <f>"420"</f>
        <v>420</v>
      </c>
      <c r="K4000" t="s">
        <v>18</v>
      </c>
      <c r="L4000" t="s">
        <v>18</v>
      </c>
      <c r="M4000" t="s">
        <v>18</v>
      </c>
    </row>
    <row r="4001" spans="1:13" x14ac:dyDescent="0.25">
      <c r="A4001" t="str">
        <f>"00504165"</f>
        <v>00504165</v>
      </c>
      <c r="B4001" t="s">
        <v>3635</v>
      </c>
      <c r="C4001" t="s">
        <v>2187</v>
      </c>
      <c r="D4001" t="s">
        <v>21</v>
      </c>
      <c r="E4001" t="s">
        <v>26</v>
      </c>
      <c r="F4001" t="s">
        <v>17</v>
      </c>
      <c r="G4001" t="str">
        <f>"10"</f>
        <v>10</v>
      </c>
      <c r="H4001" t="str">
        <f>"0  "</f>
        <v xml:space="preserve">0  </v>
      </c>
      <c r="I4001" t="str">
        <f>"2020/06/21"</f>
        <v>2020/06/21</v>
      </c>
      <c r="J4001" t="str">
        <f>"420"</f>
        <v>420</v>
      </c>
      <c r="K4001" t="s">
        <v>18</v>
      </c>
      <c r="L4001" t="s">
        <v>18</v>
      </c>
      <c r="M4001" t="s">
        <v>18</v>
      </c>
    </row>
    <row r="4002" spans="1:13" x14ac:dyDescent="0.25">
      <c r="A4002" t="str">
        <f>"00746056"</f>
        <v>00746056</v>
      </c>
      <c r="B4002" t="s">
        <v>3635</v>
      </c>
      <c r="C4002" t="s">
        <v>639</v>
      </c>
      <c r="D4002" t="s">
        <v>15</v>
      </c>
      <c r="E4002" t="s">
        <v>26</v>
      </c>
      <c r="F4002" t="s">
        <v>17</v>
      </c>
      <c r="G4002" t="str">
        <f>"10"</f>
        <v>10</v>
      </c>
      <c r="H4002" t="str">
        <f>"3  "</f>
        <v xml:space="preserve">3  </v>
      </c>
      <c r="I4002" t="str">
        <f>"2017/11/07"</f>
        <v>2017/11/07</v>
      </c>
      <c r="J4002" t="str">
        <f>"502"</f>
        <v>502</v>
      </c>
      <c r="K4002" t="str">
        <f>"20230225"</f>
        <v>20230225</v>
      </c>
      <c r="L4002" t="s">
        <v>18</v>
      </c>
      <c r="M4002" t="str">
        <f>"20160218"</f>
        <v>20160218</v>
      </c>
    </row>
    <row r="4003" spans="1:13" x14ac:dyDescent="0.25">
      <c r="A4003" t="str">
        <f>"00266398"</f>
        <v>00266398</v>
      </c>
      <c r="B4003" t="s">
        <v>3635</v>
      </c>
      <c r="C4003" t="s">
        <v>3639</v>
      </c>
      <c r="D4003" t="s">
        <v>21</v>
      </c>
      <c r="E4003" t="s">
        <v>26</v>
      </c>
      <c r="F4003" t="s">
        <v>17</v>
      </c>
      <c r="G4003" t="str">
        <f>"10"</f>
        <v>10</v>
      </c>
      <c r="H4003" t="str">
        <f>"3  "</f>
        <v xml:space="preserve">3  </v>
      </c>
      <c r="I4003" t="str">
        <f>"2020/02/28"</f>
        <v>2020/02/28</v>
      </c>
      <c r="J4003" t="str">
        <f>"110"</f>
        <v>110</v>
      </c>
      <c r="K4003" t="str">
        <f>"20211006"</f>
        <v>20211006</v>
      </c>
      <c r="L4003" t="s">
        <v>18</v>
      </c>
      <c r="M4003" t="str">
        <f>"20191217"</f>
        <v>20191217</v>
      </c>
    </row>
    <row r="4004" spans="1:13" x14ac:dyDescent="0.25">
      <c r="A4004" t="str">
        <f>"00936580"</f>
        <v>00936580</v>
      </c>
      <c r="B4004" t="s">
        <v>3635</v>
      </c>
      <c r="C4004" t="s">
        <v>2134</v>
      </c>
      <c r="D4004" t="s">
        <v>25</v>
      </c>
      <c r="E4004" t="s">
        <v>26</v>
      </c>
      <c r="F4004" t="s">
        <v>17</v>
      </c>
      <c r="G4004" t="str">
        <f>"10"</f>
        <v>10</v>
      </c>
      <c r="H4004" t="str">
        <f>"0  "</f>
        <v xml:space="preserve">0  </v>
      </c>
      <c r="I4004" t="str">
        <f>"2020/09/09"</f>
        <v>2020/09/09</v>
      </c>
      <c r="J4004" t="str">
        <f>"420"</f>
        <v>420</v>
      </c>
      <c r="K4004" t="s">
        <v>18</v>
      </c>
      <c r="L4004" t="s">
        <v>18</v>
      </c>
      <c r="M4004" t="s">
        <v>18</v>
      </c>
    </row>
    <row r="4005" spans="1:13" x14ac:dyDescent="0.25">
      <c r="A4005" t="str">
        <f>"00476241"</f>
        <v>00476241</v>
      </c>
      <c r="B4005" t="s">
        <v>3635</v>
      </c>
      <c r="C4005" t="s">
        <v>1453</v>
      </c>
      <c r="D4005" t="s">
        <v>25</v>
      </c>
      <c r="E4005" t="s">
        <v>26</v>
      </c>
      <c r="F4005" t="s">
        <v>17</v>
      </c>
      <c r="G4005" t="str">
        <f>"10"</f>
        <v>10</v>
      </c>
      <c r="H4005" t="str">
        <f>"3  "</f>
        <v xml:space="preserve">3  </v>
      </c>
      <c r="I4005" t="str">
        <f>"2013/06/28"</f>
        <v>2013/06/28</v>
      </c>
      <c r="J4005" t="str">
        <f>"110"</f>
        <v>110</v>
      </c>
      <c r="K4005" t="str">
        <f>"20220621"</f>
        <v>20220621</v>
      </c>
      <c r="L4005" t="s">
        <v>18</v>
      </c>
      <c r="M4005" t="str">
        <f>"20130415"</f>
        <v>20130415</v>
      </c>
    </row>
    <row r="4006" spans="1:13" x14ac:dyDescent="0.25">
      <c r="A4006" t="str">
        <f>"00691755"</f>
        <v>00691755</v>
      </c>
      <c r="B4006" t="s">
        <v>3635</v>
      </c>
      <c r="C4006" t="s">
        <v>327</v>
      </c>
      <c r="D4006" t="s">
        <v>142</v>
      </c>
      <c r="E4006" t="s">
        <v>26</v>
      </c>
      <c r="F4006" t="s">
        <v>17</v>
      </c>
      <c r="G4006" t="str">
        <f>"10"</f>
        <v>10</v>
      </c>
      <c r="H4006" t="str">
        <f>"0  "</f>
        <v xml:space="preserve">0  </v>
      </c>
      <c r="I4006" t="str">
        <f>"2020/06/16"</f>
        <v>2020/06/16</v>
      </c>
      <c r="J4006" t="str">
        <f>"420"</f>
        <v>420</v>
      </c>
      <c r="K4006" t="s">
        <v>18</v>
      </c>
      <c r="L4006" t="s">
        <v>18</v>
      </c>
      <c r="M4006" t="s">
        <v>18</v>
      </c>
    </row>
    <row r="4007" spans="1:13" x14ac:dyDescent="0.25">
      <c r="A4007" t="str">
        <f>"00367187"</f>
        <v>00367187</v>
      </c>
      <c r="B4007" t="s">
        <v>3635</v>
      </c>
      <c r="C4007" t="s">
        <v>3641</v>
      </c>
      <c r="D4007" t="s">
        <v>25</v>
      </c>
      <c r="E4007" t="s">
        <v>26</v>
      </c>
      <c r="F4007" t="s">
        <v>17</v>
      </c>
      <c r="G4007" t="str">
        <f>"10"</f>
        <v>10</v>
      </c>
      <c r="H4007" t="str">
        <f>"3  "</f>
        <v xml:space="preserve">3  </v>
      </c>
      <c r="I4007" t="str">
        <f>"2018/08/17"</f>
        <v>2018/08/17</v>
      </c>
      <c r="J4007" t="str">
        <f>"110"</f>
        <v>110</v>
      </c>
      <c r="K4007" t="str">
        <f>"20241101"</f>
        <v>20241101</v>
      </c>
      <c r="L4007" t="s">
        <v>18</v>
      </c>
      <c r="M4007" t="str">
        <f>"20171108"</f>
        <v>20171108</v>
      </c>
    </row>
    <row r="4008" spans="1:13" x14ac:dyDescent="0.25">
      <c r="A4008" t="str">
        <f>"00559220"</f>
        <v>00559220</v>
      </c>
      <c r="B4008" t="s">
        <v>3635</v>
      </c>
      <c r="C4008" t="s">
        <v>1618</v>
      </c>
      <c r="D4008" t="s">
        <v>45</v>
      </c>
      <c r="E4008" t="s">
        <v>26</v>
      </c>
      <c r="F4008" t="s">
        <v>17</v>
      </c>
      <c r="G4008" t="str">
        <f>"10"</f>
        <v>10</v>
      </c>
      <c r="H4008" t="str">
        <f>"0  "</f>
        <v xml:space="preserve">0  </v>
      </c>
      <c r="I4008" t="str">
        <f>"2020/09/16"</f>
        <v>2020/09/16</v>
      </c>
      <c r="J4008" t="str">
        <f>"420"</f>
        <v>420</v>
      </c>
      <c r="K4008" t="s">
        <v>18</v>
      </c>
      <c r="L4008" t="s">
        <v>18</v>
      </c>
      <c r="M4008" t="s">
        <v>18</v>
      </c>
    </row>
    <row r="4009" spans="1:13" x14ac:dyDescent="0.25">
      <c r="A4009" t="str">
        <f>"00680046"</f>
        <v>00680046</v>
      </c>
      <c r="B4009" t="s">
        <v>3635</v>
      </c>
      <c r="C4009" t="s">
        <v>3644</v>
      </c>
      <c r="D4009" t="s">
        <v>26</v>
      </c>
      <c r="E4009" t="s">
        <v>26</v>
      </c>
      <c r="F4009" t="s">
        <v>17</v>
      </c>
      <c r="G4009" t="str">
        <f>"10"</f>
        <v>10</v>
      </c>
      <c r="H4009" t="str">
        <f>"0  "</f>
        <v xml:space="preserve">0  </v>
      </c>
      <c r="I4009" t="str">
        <f>"2020/01/18"</f>
        <v>2020/01/18</v>
      </c>
      <c r="J4009" t="str">
        <f>"420"</f>
        <v>420</v>
      </c>
      <c r="K4009" t="s">
        <v>18</v>
      </c>
      <c r="L4009" t="s">
        <v>18</v>
      </c>
      <c r="M4009" t="s">
        <v>18</v>
      </c>
    </row>
    <row r="4010" spans="1:13" x14ac:dyDescent="0.25">
      <c r="A4010" t="str">
        <f>"00350867"</f>
        <v>00350867</v>
      </c>
      <c r="B4010" t="s">
        <v>3647</v>
      </c>
      <c r="C4010" t="s">
        <v>122</v>
      </c>
      <c r="D4010" t="s">
        <v>51</v>
      </c>
      <c r="E4010" t="s">
        <v>26</v>
      </c>
      <c r="F4010" t="s">
        <v>17</v>
      </c>
      <c r="G4010" t="str">
        <f>"10"</f>
        <v>10</v>
      </c>
      <c r="H4010" t="str">
        <f>"3  "</f>
        <v xml:space="preserve">3  </v>
      </c>
      <c r="I4010" t="str">
        <f>"2017/07/20"</f>
        <v>2017/07/20</v>
      </c>
      <c r="J4010" t="str">
        <f>"110"</f>
        <v>110</v>
      </c>
      <c r="K4010" t="str">
        <f>"20210615"</f>
        <v>20210615</v>
      </c>
      <c r="L4010" t="s">
        <v>18</v>
      </c>
      <c r="M4010" t="str">
        <f>"20170202"</f>
        <v>20170202</v>
      </c>
    </row>
    <row r="4011" spans="1:13" x14ac:dyDescent="0.25">
      <c r="A4011" t="str">
        <f>"00680784"</f>
        <v>00680784</v>
      </c>
      <c r="B4011" t="s">
        <v>3647</v>
      </c>
      <c r="C4011" t="s">
        <v>308</v>
      </c>
      <c r="D4011" t="s">
        <v>25</v>
      </c>
      <c r="E4011" t="s">
        <v>26</v>
      </c>
      <c r="F4011" t="s">
        <v>17</v>
      </c>
      <c r="G4011" t="str">
        <f>"10"</f>
        <v>10</v>
      </c>
      <c r="H4011" t="str">
        <f>"3  "</f>
        <v xml:space="preserve">3  </v>
      </c>
      <c r="I4011" t="str">
        <f>"2019/04/10"</f>
        <v>2019/04/10</v>
      </c>
      <c r="J4011" t="str">
        <f>"120"</f>
        <v>120</v>
      </c>
      <c r="K4011" t="str">
        <f>"20211123"</f>
        <v>20211123</v>
      </c>
      <c r="L4011" t="s">
        <v>18</v>
      </c>
      <c r="M4011" t="str">
        <f>"20190321"</f>
        <v>20190321</v>
      </c>
    </row>
    <row r="4012" spans="1:13" x14ac:dyDescent="0.25">
      <c r="A4012" t="str">
        <f>"00626978"</f>
        <v>00626978</v>
      </c>
      <c r="B4012" t="s">
        <v>3647</v>
      </c>
      <c r="C4012" t="s">
        <v>3648</v>
      </c>
      <c r="D4012" t="s">
        <v>31</v>
      </c>
      <c r="E4012" t="s">
        <v>26</v>
      </c>
      <c r="F4012" t="s">
        <v>17</v>
      </c>
      <c r="G4012" t="str">
        <f>"10"</f>
        <v>10</v>
      </c>
      <c r="H4012" t="str">
        <f>"3  "</f>
        <v xml:space="preserve">3  </v>
      </c>
      <c r="I4012" t="str">
        <f>"2019/08/05"</f>
        <v>2019/08/05</v>
      </c>
      <c r="J4012" t="str">
        <f>"110"</f>
        <v>110</v>
      </c>
      <c r="K4012" t="str">
        <f>"20241002"</f>
        <v>20241002</v>
      </c>
      <c r="L4012" t="s">
        <v>18</v>
      </c>
      <c r="M4012" t="str">
        <f>"20180709"</f>
        <v>20180709</v>
      </c>
    </row>
    <row r="4013" spans="1:13" x14ac:dyDescent="0.25">
      <c r="A4013" t="str">
        <f>"00340785"</f>
        <v>00340785</v>
      </c>
      <c r="B4013" t="s">
        <v>3652</v>
      </c>
      <c r="C4013" t="s">
        <v>3654</v>
      </c>
      <c r="D4013" t="s">
        <v>51</v>
      </c>
      <c r="E4013" t="s">
        <v>26</v>
      </c>
      <c r="F4013" t="s">
        <v>17</v>
      </c>
      <c r="G4013" t="str">
        <f>"10"</f>
        <v>10</v>
      </c>
      <c r="H4013" t="str">
        <f>"3  "</f>
        <v xml:space="preserve">3  </v>
      </c>
      <c r="I4013" t="str">
        <f>"2014/11/19"</f>
        <v>2014/11/19</v>
      </c>
      <c r="J4013" t="str">
        <f>"110"</f>
        <v>110</v>
      </c>
      <c r="K4013" t="str">
        <f>"20210718"</f>
        <v>20210718</v>
      </c>
      <c r="L4013" t="s">
        <v>18</v>
      </c>
      <c r="M4013" t="str">
        <f>"20140112"</f>
        <v>20140112</v>
      </c>
    </row>
    <row r="4014" spans="1:13" x14ac:dyDescent="0.25">
      <c r="A4014" t="str">
        <f>"00906874"</f>
        <v>00906874</v>
      </c>
      <c r="B4014" t="s">
        <v>3659</v>
      </c>
      <c r="C4014" t="s">
        <v>96</v>
      </c>
      <c r="D4014" t="s">
        <v>182</v>
      </c>
      <c r="E4014" t="s">
        <v>16</v>
      </c>
      <c r="F4014" t="s">
        <v>17</v>
      </c>
      <c r="G4014" t="str">
        <f>"10"</f>
        <v>10</v>
      </c>
      <c r="H4014" t="str">
        <f>"3  "</f>
        <v xml:space="preserve">3  </v>
      </c>
      <c r="I4014" t="str">
        <f>"2020/08/13"</f>
        <v>2020/08/13</v>
      </c>
      <c r="J4014" t="str">
        <f>"110"</f>
        <v>110</v>
      </c>
      <c r="K4014" t="str">
        <f>"20210518"</f>
        <v>20210518</v>
      </c>
      <c r="L4014" t="s">
        <v>18</v>
      </c>
      <c r="M4014" t="str">
        <f>"20191230"</f>
        <v>20191230</v>
      </c>
    </row>
    <row r="4015" spans="1:13" x14ac:dyDescent="0.25">
      <c r="A4015" t="str">
        <f>"00401781"</f>
        <v>00401781</v>
      </c>
      <c r="B4015" t="s">
        <v>3668</v>
      </c>
      <c r="C4015" t="s">
        <v>2661</v>
      </c>
      <c r="D4015" t="s">
        <v>45</v>
      </c>
      <c r="E4015" t="s">
        <v>26</v>
      </c>
      <c r="F4015" t="s">
        <v>17</v>
      </c>
      <c r="G4015" t="str">
        <f>"10"</f>
        <v>10</v>
      </c>
      <c r="H4015" t="str">
        <f>"3  "</f>
        <v xml:space="preserve">3  </v>
      </c>
      <c r="I4015" t="str">
        <f>"2017/07/06"</f>
        <v>2017/07/06</v>
      </c>
      <c r="J4015" t="str">
        <f>"110"</f>
        <v>110</v>
      </c>
      <c r="K4015" t="str">
        <f>"20210630"</f>
        <v>20210630</v>
      </c>
      <c r="L4015" t="s">
        <v>18</v>
      </c>
      <c r="M4015" t="str">
        <f>"20170512"</f>
        <v>20170512</v>
      </c>
    </row>
    <row r="4016" spans="1:13" x14ac:dyDescent="0.25">
      <c r="A4016" t="str">
        <f>"00923692"</f>
        <v>00923692</v>
      </c>
      <c r="B4016" t="s">
        <v>3675</v>
      </c>
      <c r="C4016" t="s">
        <v>2035</v>
      </c>
      <c r="D4016" t="s">
        <v>25</v>
      </c>
      <c r="E4016" t="s">
        <v>26</v>
      </c>
      <c r="F4016" t="s">
        <v>17</v>
      </c>
      <c r="G4016" t="str">
        <f>"10"</f>
        <v>10</v>
      </c>
      <c r="H4016" t="str">
        <f>"0  "</f>
        <v xml:space="preserve">0  </v>
      </c>
      <c r="I4016" t="str">
        <f>"2020/01/12"</f>
        <v>2020/01/12</v>
      </c>
      <c r="J4016" t="str">
        <f>"420"</f>
        <v>420</v>
      </c>
      <c r="K4016" t="s">
        <v>18</v>
      </c>
      <c r="L4016" t="s">
        <v>18</v>
      </c>
      <c r="M4016" t="s">
        <v>18</v>
      </c>
    </row>
    <row r="4017" spans="1:13" x14ac:dyDescent="0.25">
      <c r="A4017" t="str">
        <f>"00925695"</f>
        <v>00925695</v>
      </c>
      <c r="B4017" t="s">
        <v>3678</v>
      </c>
      <c r="C4017" t="s">
        <v>74</v>
      </c>
      <c r="D4017" t="s">
        <v>80</v>
      </c>
      <c r="E4017" t="s">
        <v>26</v>
      </c>
      <c r="F4017" t="s">
        <v>17</v>
      </c>
      <c r="G4017" t="str">
        <f>"10"</f>
        <v>10</v>
      </c>
      <c r="H4017" t="str">
        <f>"0  "</f>
        <v xml:space="preserve">0  </v>
      </c>
      <c r="I4017" t="str">
        <f>"2020/02/07"</f>
        <v>2020/02/07</v>
      </c>
      <c r="J4017" t="str">
        <f>"420"</f>
        <v>420</v>
      </c>
      <c r="K4017" t="s">
        <v>18</v>
      </c>
      <c r="L4017" t="s">
        <v>18</v>
      </c>
      <c r="M4017" t="s">
        <v>18</v>
      </c>
    </row>
    <row r="4018" spans="1:13" x14ac:dyDescent="0.25">
      <c r="A4018" t="str">
        <f>"00451470"</f>
        <v>00451470</v>
      </c>
      <c r="B4018" t="s">
        <v>3684</v>
      </c>
      <c r="C4018" t="s">
        <v>218</v>
      </c>
      <c r="D4018" t="s">
        <v>121</v>
      </c>
      <c r="E4018" t="s">
        <v>16</v>
      </c>
      <c r="F4018" t="s">
        <v>17</v>
      </c>
      <c r="G4018" t="str">
        <f>"10"</f>
        <v>10</v>
      </c>
      <c r="H4018" t="str">
        <f>"3  "</f>
        <v xml:space="preserve">3  </v>
      </c>
      <c r="I4018" t="str">
        <f>"2018/11/30"</f>
        <v>2018/11/30</v>
      </c>
      <c r="J4018" t="str">
        <f>"110"</f>
        <v>110</v>
      </c>
      <c r="K4018" t="str">
        <f>"20200930"</f>
        <v>20200930</v>
      </c>
      <c r="L4018" t="s">
        <v>18</v>
      </c>
      <c r="M4018" t="str">
        <f>"20180325"</f>
        <v>20180325</v>
      </c>
    </row>
    <row r="4019" spans="1:13" x14ac:dyDescent="0.25">
      <c r="A4019" t="str">
        <f>"00271541"</f>
        <v>00271541</v>
      </c>
      <c r="B4019" t="s">
        <v>3684</v>
      </c>
      <c r="C4019" t="s">
        <v>2928</v>
      </c>
      <c r="D4019" t="s">
        <v>25</v>
      </c>
      <c r="E4019" t="s">
        <v>16</v>
      </c>
      <c r="F4019" t="s">
        <v>17</v>
      </c>
      <c r="G4019" t="str">
        <f>"10"</f>
        <v>10</v>
      </c>
      <c r="H4019" t="str">
        <f>"3  "</f>
        <v xml:space="preserve">3  </v>
      </c>
      <c r="I4019" t="str">
        <f>"2018/04/25"</f>
        <v>2018/04/25</v>
      </c>
      <c r="J4019" t="str">
        <f>"110"</f>
        <v>110</v>
      </c>
      <c r="K4019" t="str">
        <f>"20210723"</f>
        <v>20210723</v>
      </c>
      <c r="L4019" t="s">
        <v>18</v>
      </c>
      <c r="M4019" t="str">
        <f>"20180324"</f>
        <v>20180324</v>
      </c>
    </row>
    <row r="4020" spans="1:13" x14ac:dyDescent="0.25">
      <c r="A4020" t="str">
        <f>"00785070"</f>
        <v>00785070</v>
      </c>
      <c r="B4020" t="s">
        <v>3686</v>
      </c>
      <c r="C4020" t="s">
        <v>66</v>
      </c>
      <c r="D4020" t="s">
        <v>80</v>
      </c>
      <c r="E4020" t="s">
        <v>16</v>
      </c>
      <c r="F4020" t="s">
        <v>17</v>
      </c>
      <c r="G4020" t="str">
        <f>"10"</f>
        <v>10</v>
      </c>
      <c r="H4020" t="str">
        <f>"0  "</f>
        <v xml:space="preserve">0  </v>
      </c>
      <c r="I4020" t="str">
        <f>"2019/07/25"</f>
        <v>2019/07/25</v>
      </c>
      <c r="J4020" t="str">
        <f>"420"</f>
        <v>420</v>
      </c>
      <c r="K4020" t="s">
        <v>18</v>
      </c>
      <c r="L4020" t="s">
        <v>18</v>
      </c>
      <c r="M4020" t="s">
        <v>18</v>
      </c>
    </row>
    <row r="4021" spans="1:13" x14ac:dyDescent="0.25">
      <c r="A4021" t="str">
        <f>"00886894"</f>
        <v>00886894</v>
      </c>
      <c r="B4021" t="s">
        <v>3687</v>
      </c>
      <c r="C4021" t="s">
        <v>3688</v>
      </c>
      <c r="D4021" t="s">
        <v>25</v>
      </c>
      <c r="E4021" t="s">
        <v>26</v>
      </c>
      <c r="F4021" t="s">
        <v>17</v>
      </c>
      <c r="G4021" t="str">
        <f>"10"</f>
        <v>10</v>
      </c>
      <c r="H4021" t="str">
        <f>"3  "</f>
        <v xml:space="preserve">3  </v>
      </c>
      <c r="I4021" t="str">
        <f>"2019/05/28"</f>
        <v>2019/05/28</v>
      </c>
      <c r="J4021" t="str">
        <f>"110"</f>
        <v>110</v>
      </c>
      <c r="K4021" t="str">
        <f>"20210723"</f>
        <v>20210723</v>
      </c>
      <c r="L4021" t="s">
        <v>18</v>
      </c>
      <c r="M4021" t="str">
        <f>"20181230"</f>
        <v>20181230</v>
      </c>
    </row>
    <row r="4022" spans="1:13" x14ac:dyDescent="0.25">
      <c r="A4022" t="str">
        <f>"00210249"</f>
        <v>00210249</v>
      </c>
      <c r="B4022" t="s">
        <v>3691</v>
      </c>
      <c r="C4022" t="s">
        <v>3693</v>
      </c>
      <c r="D4022" t="s">
        <v>47</v>
      </c>
      <c r="E4022" t="s">
        <v>26</v>
      </c>
      <c r="F4022" t="s">
        <v>17</v>
      </c>
      <c r="G4022" t="str">
        <f>"10"</f>
        <v>10</v>
      </c>
      <c r="H4022" t="str">
        <f>"0  "</f>
        <v xml:space="preserve">0  </v>
      </c>
      <c r="I4022" t="str">
        <f>"2020/06/09"</f>
        <v>2020/06/09</v>
      </c>
      <c r="J4022" t="str">
        <f>"420"</f>
        <v>420</v>
      </c>
      <c r="K4022" t="s">
        <v>18</v>
      </c>
      <c r="L4022" t="s">
        <v>18</v>
      </c>
      <c r="M4022" t="s">
        <v>18</v>
      </c>
    </row>
    <row r="4023" spans="1:13" x14ac:dyDescent="0.25">
      <c r="A4023" t="str">
        <f>"00609207"</f>
        <v>00609207</v>
      </c>
      <c r="B4023" t="s">
        <v>3702</v>
      </c>
      <c r="C4023" t="s">
        <v>754</v>
      </c>
      <c r="D4023" t="s">
        <v>51</v>
      </c>
      <c r="E4023" t="s">
        <v>26</v>
      </c>
      <c r="F4023" t="s">
        <v>17</v>
      </c>
      <c r="G4023" t="str">
        <f>"10"</f>
        <v>10</v>
      </c>
      <c r="H4023" t="str">
        <f>"0  "</f>
        <v xml:space="preserve">0  </v>
      </c>
      <c r="I4023" t="str">
        <f>"2019/04/09"</f>
        <v>2019/04/09</v>
      </c>
      <c r="J4023" t="str">
        <f>"420"</f>
        <v>420</v>
      </c>
      <c r="K4023" t="s">
        <v>18</v>
      </c>
      <c r="L4023" t="s">
        <v>18</v>
      </c>
      <c r="M4023" t="s">
        <v>18</v>
      </c>
    </row>
    <row r="4024" spans="1:13" x14ac:dyDescent="0.25">
      <c r="A4024" t="str">
        <f>"00297022"</f>
        <v>00297022</v>
      </c>
      <c r="B4024" t="s">
        <v>3706</v>
      </c>
      <c r="C4024" t="s">
        <v>308</v>
      </c>
      <c r="D4024" t="s">
        <v>45</v>
      </c>
      <c r="E4024" t="s">
        <v>26</v>
      </c>
      <c r="F4024" t="s">
        <v>17</v>
      </c>
      <c r="G4024" t="str">
        <f>"10"</f>
        <v>10</v>
      </c>
      <c r="H4024" t="str">
        <f>"3  "</f>
        <v xml:space="preserve">3  </v>
      </c>
      <c r="I4024" t="str">
        <f>"2018/02/20"</f>
        <v>2018/02/20</v>
      </c>
      <c r="J4024" t="str">
        <f>"110"</f>
        <v>110</v>
      </c>
      <c r="K4024" t="str">
        <f>"20230801"</f>
        <v>20230801</v>
      </c>
      <c r="L4024" t="s">
        <v>18</v>
      </c>
      <c r="M4024" t="str">
        <f>"20160817"</f>
        <v>20160817</v>
      </c>
    </row>
    <row r="4025" spans="1:13" x14ac:dyDescent="0.25">
      <c r="A4025" t="str">
        <f>"00902088"</f>
        <v>00902088</v>
      </c>
      <c r="B4025" t="s">
        <v>3715</v>
      </c>
      <c r="C4025" t="s">
        <v>191</v>
      </c>
      <c r="D4025" t="s">
        <v>51</v>
      </c>
      <c r="E4025" t="s">
        <v>26</v>
      </c>
      <c r="F4025" t="s">
        <v>17</v>
      </c>
      <c r="G4025" t="str">
        <f>"10"</f>
        <v>10</v>
      </c>
      <c r="H4025" t="str">
        <f>"0  "</f>
        <v xml:space="preserve">0  </v>
      </c>
      <c r="I4025" t="str">
        <f>"2019/03/14"</f>
        <v>2019/03/14</v>
      </c>
      <c r="J4025" t="str">
        <f>"420"</f>
        <v>420</v>
      </c>
      <c r="K4025" t="s">
        <v>18</v>
      </c>
      <c r="L4025" t="s">
        <v>18</v>
      </c>
      <c r="M4025" t="s">
        <v>18</v>
      </c>
    </row>
    <row r="4026" spans="1:13" x14ac:dyDescent="0.25">
      <c r="A4026" t="str">
        <f>"00154949"</f>
        <v>00154949</v>
      </c>
      <c r="B4026" t="s">
        <v>3715</v>
      </c>
      <c r="C4026" t="s">
        <v>115</v>
      </c>
      <c r="D4026" t="s">
        <v>21</v>
      </c>
      <c r="E4026" t="s">
        <v>26</v>
      </c>
      <c r="F4026" t="s">
        <v>17</v>
      </c>
      <c r="G4026" t="str">
        <f>"10"</f>
        <v>10</v>
      </c>
      <c r="H4026" t="str">
        <f>"3  "</f>
        <v xml:space="preserve">3  </v>
      </c>
      <c r="I4026" t="str">
        <f>"2015/02/20"</f>
        <v>2015/02/20</v>
      </c>
      <c r="J4026" t="str">
        <f>"110"</f>
        <v>110</v>
      </c>
      <c r="K4026" t="str">
        <f>"20220806"</f>
        <v>20220806</v>
      </c>
      <c r="L4026" t="s">
        <v>18</v>
      </c>
      <c r="M4026" t="str">
        <f>"20140405"</f>
        <v>20140405</v>
      </c>
    </row>
    <row r="4027" spans="1:13" x14ac:dyDescent="0.25">
      <c r="A4027" t="str">
        <f>"00694757"</f>
        <v>00694757</v>
      </c>
      <c r="B4027" t="s">
        <v>3715</v>
      </c>
      <c r="C4027" t="s">
        <v>1829</v>
      </c>
      <c r="D4027" t="s">
        <v>25</v>
      </c>
      <c r="E4027" t="s">
        <v>26</v>
      </c>
      <c r="F4027" t="s">
        <v>17</v>
      </c>
      <c r="G4027" t="str">
        <f>"10"</f>
        <v>10</v>
      </c>
      <c r="H4027" t="str">
        <f>"3  "</f>
        <v xml:space="preserve">3  </v>
      </c>
      <c r="I4027" t="str">
        <f>"2017/07/18"</f>
        <v>2017/07/18</v>
      </c>
      <c r="J4027" t="str">
        <f>"110"</f>
        <v>110</v>
      </c>
      <c r="K4027" t="str">
        <f>"20210128"</f>
        <v>20210128</v>
      </c>
      <c r="L4027" t="s">
        <v>18</v>
      </c>
      <c r="M4027" t="str">
        <f>"20161118"</f>
        <v>20161118</v>
      </c>
    </row>
    <row r="4028" spans="1:13" x14ac:dyDescent="0.25">
      <c r="A4028" t="str">
        <f>"00400428"</f>
        <v>00400428</v>
      </c>
      <c r="B4028" t="s">
        <v>3715</v>
      </c>
      <c r="C4028" t="s">
        <v>169</v>
      </c>
      <c r="D4028" t="s">
        <v>37</v>
      </c>
      <c r="E4028" t="s">
        <v>26</v>
      </c>
      <c r="F4028" t="s">
        <v>17</v>
      </c>
      <c r="G4028" t="str">
        <f>"10"</f>
        <v>10</v>
      </c>
      <c r="H4028" t="str">
        <f>"3  "</f>
        <v xml:space="preserve">3  </v>
      </c>
      <c r="I4028" t="str">
        <f>"2018/07/26"</f>
        <v>2018/07/26</v>
      </c>
      <c r="J4028" t="str">
        <f>"110"</f>
        <v>110</v>
      </c>
      <c r="K4028" t="str">
        <f>"20220425"</f>
        <v>20220425</v>
      </c>
      <c r="L4028" t="s">
        <v>18</v>
      </c>
      <c r="M4028" t="str">
        <f>"20180110"</f>
        <v>20180110</v>
      </c>
    </row>
    <row r="4029" spans="1:13" x14ac:dyDescent="0.25">
      <c r="A4029" t="str">
        <f>"00735718"</f>
        <v>00735718</v>
      </c>
      <c r="B4029" t="s">
        <v>3717</v>
      </c>
      <c r="C4029" t="s">
        <v>3718</v>
      </c>
      <c r="D4029" t="s">
        <v>25</v>
      </c>
      <c r="E4029" t="s">
        <v>26</v>
      </c>
      <c r="F4029" t="s">
        <v>17</v>
      </c>
      <c r="G4029" t="str">
        <f>"10"</f>
        <v>10</v>
      </c>
      <c r="H4029" t="str">
        <f>"0  "</f>
        <v xml:space="preserve">0  </v>
      </c>
      <c r="I4029" t="str">
        <f>"2020/07/08"</f>
        <v>2020/07/08</v>
      </c>
      <c r="J4029" t="str">
        <f>"420"</f>
        <v>420</v>
      </c>
      <c r="K4029" t="s">
        <v>18</v>
      </c>
      <c r="L4029" t="s">
        <v>18</v>
      </c>
      <c r="M4029" t="s">
        <v>18</v>
      </c>
    </row>
    <row r="4030" spans="1:13" x14ac:dyDescent="0.25">
      <c r="A4030" t="str">
        <f>"00358017"</f>
        <v>00358017</v>
      </c>
      <c r="B4030" t="s">
        <v>3719</v>
      </c>
      <c r="C4030" t="s">
        <v>118</v>
      </c>
      <c r="D4030" t="s">
        <v>15</v>
      </c>
      <c r="E4030" t="s">
        <v>26</v>
      </c>
      <c r="F4030" t="s">
        <v>17</v>
      </c>
      <c r="G4030" t="str">
        <f>"10"</f>
        <v>10</v>
      </c>
      <c r="H4030" t="str">
        <f>"3  "</f>
        <v xml:space="preserve">3  </v>
      </c>
      <c r="I4030" t="str">
        <f>"2019/02/21"</f>
        <v>2019/02/21</v>
      </c>
      <c r="J4030" t="str">
        <f>"110"</f>
        <v>110</v>
      </c>
      <c r="K4030" t="str">
        <f>"20220629"</f>
        <v>20220629</v>
      </c>
      <c r="L4030" t="s">
        <v>18</v>
      </c>
      <c r="M4030" t="str">
        <f>"20180414"</f>
        <v>20180414</v>
      </c>
    </row>
    <row r="4031" spans="1:13" x14ac:dyDescent="0.25">
      <c r="A4031" t="str">
        <f>"00685012"</f>
        <v>00685012</v>
      </c>
      <c r="B4031" t="s">
        <v>3722</v>
      </c>
      <c r="C4031" t="s">
        <v>211</v>
      </c>
      <c r="D4031" t="s">
        <v>77</v>
      </c>
      <c r="E4031" t="s">
        <v>26</v>
      </c>
      <c r="F4031" t="s">
        <v>17</v>
      </c>
      <c r="G4031" t="str">
        <f>"10"</f>
        <v>10</v>
      </c>
      <c r="H4031" t="str">
        <f>"3  "</f>
        <v xml:space="preserve">3  </v>
      </c>
      <c r="I4031" t="str">
        <f>"2019/10/16"</f>
        <v>2019/10/16</v>
      </c>
      <c r="J4031" t="str">
        <f>"110"</f>
        <v>110</v>
      </c>
      <c r="K4031" t="str">
        <f>"20230626"</f>
        <v>20230626</v>
      </c>
      <c r="L4031" t="s">
        <v>18</v>
      </c>
      <c r="M4031" t="str">
        <f>"20190531"</f>
        <v>20190531</v>
      </c>
    </row>
    <row r="4032" spans="1:13" x14ac:dyDescent="0.25">
      <c r="A4032" t="str">
        <f>"00852771"</f>
        <v>00852771</v>
      </c>
      <c r="B4032" t="s">
        <v>3725</v>
      </c>
      <c r="C4032" t="s">
        <v>3727</v>
      </c>
      <c r="D4032" t="s">
        <v>25</v>
      </c>
      <c r="E4032" t="s">
        <v>26</v>
      </c>
      <c r="F4032" t="s">
        <v>17</v>
      </c>
      <c r="G4032" t="str">
        <f>"10"</f>
        <v>10</v>
      </c>
      <c r="H4032" t="str">
        <f>"3  "</f>
        <v xml:space="preserve">3  </v>
      </c>
      <c r="I4032" t="str">
        <f>"2019/07/02"</f>
        <v>2019/07/02</v>
      </c>
      <c r="J4032" t="str">
        <f>"503"</f>
        <v>503</v>
      </c>
      <c r="K4032" t="str">
        <f>"20210727"</f>
        <v>20210727</v>
      </c>
      <c r="L4032" t="s">
        <v>18</v>
      </c>
      <c r="M4032" t="str">
        <f>"20170413"</f>
        <v>20170413</v>
      </c>
    </row>
    <row r="4033" spans="1:13" x14ac:dyDescent="0.25">
      <c r="A4033" t="str">
        <f>"00304351"</f>
        <v>00304351</v>
      </c>
      <c r="B4033" t="s">
        <v>3730</v>
      </c>
      <c r="C4033" t="s">
        <v>1609</v>
      </c>
      <c r="D4033" t="s">
        <v>25</v>
      </c>
      <c r="E4033" t="s">
        <v>26</v>
      </c>
      <c r="F4033" t="s">
        <v>17</v>
      </c>
      <c r="G4033" t="str">
        <f>"10"</f>
        <v>10</v>
      </c>
      <c r="H4033" t="str">
        <f>"3  "</f>
        <v xml:space="preserve">3  </v>
      </c>
      <c r="I4033" t="str">
        <f>"2018/06/13"</f>
        <v>2018/06/13</v>
      </c>
      <c r="J4033" t="str">
        <f>"502"</f>
        <v>502</v>
      </c>
      <c r="K4033" t="str">
        <f>"20201130"</f>
        <v>20201130</v>
      </c>
      <c r="L4033" t="s">
        <v>18</v>
      </c>
      <c r="M4033" t="str">
        <f>"20000903"</f>
        <v>20000903</v>
      </c>
    </row>
    <row r="4034" spans="1:13" x14ac:dyDescent="0.25">
      <c r="A4034" t="str">
        <f>"00338362"</f>
        <v>00338362</v>
      </c>
      <c r="B4034" t="s">
        <v>3731</v>
      </c>
      <c r="C4034" t="s">
        <v>3732</v>
      </c>
      <c r="D4034" t="s">
        <v>26</v>
      </c>
      <c r="E4034" t="s">
        <v>26</v>
      </c>
      <c r="F4034" t="s">
        <v>17</v>
      </c>
      <c r="G4034" t="str">
        <f>"10"</f>
        <v>10</v>
      </c>
      <c r="H4034" t="str">
        <f>"3  "</f>
        <v xml:space="preserve">3  </v>
      </c>
      <c r="I4034" t="str">
        <f>"2019/12/09"</f>
        <v>2019/12/09</v>
      </c>
      <c r="J4034" t="str">
        <f>"110"</f>
        <v>110</v>
      </c>
      <c r="K4034" t="str">
        <f>"20210914"</f>
        <v>20210914</v>
      </c>
      <c r="L4034" t="s">
        <v>18</v>
      </c>
      <c r="M4034" t="str">
        <f>"20191209"</f>
        <v>20191209</v>
      </c>
    </row>
    <row r="4035" spans="1:13" x14ac:dyDescent="0.25">
      <c r="A4035" t="str">
        <f>"00631695"</f>
        <v>00631695</v>
      </c>
      <c r="B4035" t="s">
        <v>3733</v>
      </c>
      <c r="C4035" t="s">
        <v>3734</v>
      </c>
      <c r="D4035" t="s">
        <v>21</v>
      </c>
      <c r="E4035" t="s">
        <v>26</v>
      </c>
      <c r="F4035" t="s">
        <v>17</v>
      </c>
      <c r="G4035" t="str">
        <f>"10"</f>
        <v>10</v>
      </c>
      <c r="H4035" t="str">
        <f>"1  "</f>
        <v xml:space="preserve">1  </v>
      </c>
      <c r="I4035" t="str">
        <f>"2020/09/13"</f>
        <v>2020/09/13</v>
      </c>
      <c r="J4035" t="str">
        <f>"110"</f>
        <v>110</v>
      </c>
      <c r="K4035" t="str">
        <f>"20210224"</f>
        <v>20210224</v>
      </c>
      <c r="L4035" t="s">
        <v>18</v>
      </c>
      <c r="M4035" t="str">
        <f>"20200913"</f>
        <v>20200913</v>
      </c>
    </row>
    <row r="4036" spans="1:13" x14ac:dyDescent="0.25">
      <c r="A4036" t="str">
        <f>"00658000"</f>
        <v>00658000</v>
      </c>
      <c r="B4036" t="s">
        <v>3735</v>
      </c>
      <c r="C4036" t="s">
        <v>327</v>
      </c>
      <c r="D4036" t="s">
        <v>51</v>
      </c>
      <c r="E4036" t="s">
        <v>26</v>
      </c>
      <c r="F4036" t="s">
        <v>17</v>
      </c>
      <c r="G4036" t="str">
        <f>"10"</f>
        <v>10</v>
      </c>
      <c r="H4036" t="str">
        <f>"0  "</f>
        <v xml:space="preserve">0  </v>
      </c>
      <c r="I4036" t="str">
        <f>"2020/08/12"</f>
        <v>2020/08/12</v>
      </c>
      <c r="J4036" t="str">
        <f>"420"</f>
        <v>420</v>
      </c>
      <c r="K4036" t="s">
        <v>18</v>
      </c>
      <c r="L4036" t="s">
        <v>18</v>
      </c>
      <c r="M4036" t="s">
        <v>18</v>
      </c>
    </row>
    <row r="4037" spans="1:13" x14ac:dyDescent="0.25">
      <c r="A4037" t="str">
        <f>"00742998"</f>
        <v>00742998</v>
      </c>
      <c r="B4037" t="s">
        <v>3739</v>
      </c>
      <c r="C4037" t="s">
        <v>3740</v>
      </c>
      <c r="D4037" t="s">
        <v>25</v>
      </c>
      <c r="E4037" t="s">
        <v>26</v>
      </c>
      <c r="F4037" t="s">
        <v>17</v>
      </c>
      <c r="G4037" t="str">
        <f>"10"</f>
        <v>10</v>
      </c>
      <c r="H4037" t="str">
        <f>"3  "</f>
        <v xml:space="preserve">3  </v>
      </c>
      <c r="I4037" t="str">
        <f>"2019/04/14"</f>
        <v>2019/04/14</v>
      </c>
      <c r="J4037" t="str">
        <f>"110"</f>
        <v>110</v>
      </c>
      <c r="K4037" t="str">
        <f>"20210308"</f>
        <v>20210308</v>
      </c>
      <c r="L4037" t="s">
        <v>18</v>
      </c>
      <c r="M4037" t="str">
        <f>"20180711"</f>
        <v>20180711</v>
      </c>
    </row>
    <row r="4038" spans="1:13" x14ac:dyDescent="0.25">
      <c r="A4038" t="str">
        <f>"00760689"</f>
        <v>00760689</v>
      </c>
      <c r="B4038" t="s">
        <v>3744</v>
      </c>
      <c r="C4038" t="s">
        <v>3728</v>
      </c>
      <c r="D4038" t="s">
        <v>15</v>
      </c>
      <c r="E4038" t="s">
        <v>16</v>
      </c>
      <c r="F4038" t="s">
        <v>17</v>
      </c>
      <c r="G4038" t="str">
        <f>"10"</f>
        <v>10</v>
      </c>
      <c r="H4038" t="str">
        <f>"3  "</f>
        <v xml:space="preserve">3  </v>
      </c>
      <c r="I4038" t="str">
        <f>"2015/06/07"</f>
        <v>2015/06/07</v>
      </c>
      <c r="J4038" t="str">
        <f>"110"</f>
        <v>110</v>
      </c>
      <c r="K4038" t="str">
        <f>"20210929"</f>
        <v>20210929</v>
      </c>
      <c r="L4038" t="s">
        <v>18</v>
      </c>
      <c r="M4038" t="str">
        <f>"20150105"</f>
        <v>20150105</v>
      </c>
    </row>
    <row r="4039" spans="1:13" x14ac:dyDescent="0.25">
      <c r="A4039" t="str">
        <f>"00733837"</f>
        <v>00733837</v>
      </c>
      <c r="B4039" t="s">
        <v>3755</v>
      </c>
      <c r="C4039" t="s">
        <v>244</v>
      </c>
      <c r="D4039" t="s">
        <v>25</v>
      </c>
      <c r="E4039" t="s">
        <v>16</v>
      </c>
      <c r="F4039" t="s">
        <v>17</v>
      </c>
      <c r="G4039" t="str">
        <f>"10"</f>
        <v>10</v>
      </c>
      <c r="H4039" t="str">
        <f>"0  "</f>
        <v xml:space="preserve">0  </v>
      </c>
      <c r="I4039" t="str">
        <f>"2020/09/01"</f>
        <v>2020/09/01</v>
      </c>
      <c r="J4039" t="str">
        <f>"420"</f>
        <v>420</v>
      </c>
      <c r="K4039" t="s">
        <v>18</v>
      </c>
      <c r="L4039" t="s">
        <v>18</v>
      </c>
      <c r="M4039" t="s">
        <v>18</v>
      </c>
    </row>
    <row r="4040" spans="1:13" x14ac:dyDescent="0.25">
      <c r="A4040" t="str">
        <f>"00877178"</f>
        <v>00877178</v>
      </c>
      <c r="B4040" t="s">
        <v>3757</v>
      </c>
      <c r="C4040" t="s">
        <v>186</v>
      </c>
      <c r="D4040" t="s">
        <v>15</v>
      </c>
      <c r="E4040" t="s">
        <v>16</v>
      </c>
      <c r="F4040" t="s">
        <v>17</v>
      </c>
      <c r="G4040" t="str">
        <f>"10"</f>
        <v>10</v>
      </c>
      <c r="H4040" t="str">
        <f>"3  "</f>
        <v xml:space="preserve">3  </v>
      </c>
      <c r="I4040" t="str">
        <f>"2019/03/15"</f>
        <v>2019/03/15</v>
      </c>
      <c r="J4040" t="str">
        <f>"110"</f>
        <v>110</v>
      </c>
      <c r="K4040" t="str">
        <f>"20220217"</f>
        <v>20220217</v>
      </c>
      <c r="L4040" t="s">
        <v>18</v>
      </c>
      <c r="M4040" t="str">
        <f>"20180329"</f>
        <v>20180329</v>
      </c>
    </row>
    <row r="4041" spans="1:13" x14ac:dyDescent="0.25">
      <c r="A4041" t="str">
        <f>"00370313"</f>
        <v>00370313</v>
      </c>
      <c r="B4041" t="s">
        <v>3761</v>
      </c>
      <c r="C4041" t="s">
        <v>655</v>
      </c>
      <c r="D4041" t="s">
        <v>15</v>
      </c>
      <c r="E4041" t="s">
        <v>16</v>
      </c>
      <c r="F4041" t="s">
        <v>17</v>
      </c>
      <c r="G4041" t="str">
        <f>"10"</f>
        <v>10</v>
      </c>
      <c r="H4041" t="str">
        <f>"0  "</f>
        <v xml:space="preserve">0  </v>
      </c>
      <c r="I4041" t="str">
        <f>"2020/07/06"</f>
        <v>2020/07/06</v>
      </c>
      <c r="J4041" t="str">
        <f>"420"</f>
        <v>420</v>
      </c>
      <c r="K4041" t="s">
        <v>18</v>
      </c>
      <c r="L4041" t="s">
        <v>18</v>
      </c>
      <c r="M4041" t="s">
        <v>18</v>
      </c>
    </row>
    <row r="4042" spans="1:13" x14ac:dyDescent="0.25">
      <c r="A4042" t="str">
        <f>"00829649"</f>
        <v>00829649</v>
      </c>
      <c r="B4042" t="s">
        <v>3763</v>
      </c>
      <c r="C4042" t="s">
        <v>346</v>
      </c>
      <c r="D4042" t="s">
        <v>15</v>
      </c>
      <c r="E4042" t="s">
        <v>16</v>
      </c>
      <c r="F4042" t="s">
        <v>17</v>
      </c>
      <c r="G4042" t="str">
        <f>"10"</f>
        <v>10</v>
      </c>
      <c r="H4042" t="str">
        <f>"3  "</f>
        <v xml:space="preserve">3  </v>
      </c>
      <c r="I4042" t="str">
        <f>"2019/08/29"</f>
        <v>2019/08/29</v>
      </c>
      <c r="J4042" t="str">
        <f>"503"</f>
        <v>503</v>
      </c>
      <c r="K4042" t="str">
        <f>"20211025"</f>
        <v>20211025</v>
      </c>
      <c r="L4042" t="s">
        <v>18</v>
      </c>
      <c r="M4042" t="str">
        <f>"20170808"</f>
        <v>20170808</v>
      </c>
    </row>
    <row r="4043" spans="1:13" x14ac:dyDescent="0.25">
      <c r="A4043" t="str">
        <f>"00600300"</f>
        <v>00600300</v>
      </c>
      <c r="B4043" t="s">
        <v>3794</v>
      </c>
      <c r="C4043" t="s">
        <v>3796</v>
      </c>
      <c r="D4043" t="s">
        <v>80</v>
      </c>
      <c r="E4043" t="s">
        <v>26</v>
      </c>
      <c r="F4043" t="s">
        <v>17</v>
      </c>
      <c r="G4043" t="str">
        <f>"10"</f>
        <v>10</v>
      </c>
      <c r="H4043" t="str">
        <f>"0  "</f>
        <v xml:space="preserve">0  </v>
      </c>
      <c r="I4043" t="str">
        <f>"2019/12/25"</f>
        <v>2019/12/25</v>
      </c>
      <c r="J4043" t="str">
        <f>"420"</f>
        <v>420</v>
      </c>
      <c r="K4043" t="s">
        <v>18</v>
      </c>
      <c r="L4043" t="s">
        <v>18</v>
      </c>
      <c r="M4043" t="s">
        <v>18</v>
      </c>
    </row>
    <row r="4044" spans="1:13" x14ac:dyDescent="0.25">
      <c r="A4044" t="str">
        <f>"00194120"</f>
        <v>00194120</v>
      </c>
      <c r="B4044" t="s">
        <v>3794</v>
      </c>
      <c r="C4044" t="s">
        <v>3798</v>
      </c>
      <c r="D4044" t="s">
        <v>21</v>
      </c>
      <c r="E4044" t="s">
        <v>26</v>
      </c>
      <c r="F4044" t="s">
        <v>17</v>
      </c>
      <c r="G4044" t="str">
        <f>"10"</f>
        <v>10</v>
      </c>
      <c r="H4044" t="str">
        <f>"0  "</f>
        <v xml:space="preserve">0  </v>
      </c>
      <c r="I4044" t="str">
        <f>"2020/06/10"</f>
        <v>2020/06/10</v>
      </c>
      <c r="J4044" t="str">
        <f>"420"</f>
        <v>420</v>
      </c>
      <c r="K4044" t="s">
        <v>18</v>
      </c>
      <c r="L4044" t="s">
        <v>18</v>
      </c>
      <c r="M4044" t="s">
        <v>18</v>
      </c>
    </row>
    <row r="4045" spans="1:13" x14ac:dyDescent="0.25">
      <c r="A4045" t="str">
        <f>"00765305"</f>
        <v>00765305</v>
      </c>
      <c r="B4045" t="s">
        <v>3794</v>
      </c>
      <c r="C4045" t="s">
        <v>650</v>
      </c>
      <c r="D4045" t="s">
        <v>15</v>
      </c>
      <c r="E4045" t="s">
        <v>26</v>
      </c>
      <c r="F4045" t="s">
        <v>17</v>
      </c>
      <c r="G4045" t="str">
        <f>"10"</f>
        <v>10</v>
      </c>
      <c r="H4045" t="str">
        <f>"1  "</f>
        <v xml:space="preserve">1  </v>
      </c>
      <c r="I4045" t="str">
        <f>"2020/09/18"</f>
        <v>2020/09/18</v>
      </c>
      <c r="J4045" t="str">
        <f>"110"</f>
        <v>110</v>
      </c>
      <c r="K4045" t="str">
        <f>"20210914"</f>
        <v>20210914</v>
      </c>
      <c r="L4045" t="s">
        <v>18</v>
      </c>
      <c r="M4045" t="str">
        <f>"20200915"</f>
        <v>20200915</v>
      </c>
    </row>
    <row r="4046" spans="1:13" x14ac:dyDescent="0.25">
      <c r="A4046" t="str">
        <f>"00379106"</f>
        <v>00379106</v>
      </c>
      <c r="B4046" t="s">
        <v>3794</v>
      </c>
      <c r="C4046" t="s">
        <v>650</v>
      </c>
      <c r="D4046" t="s">
        <v>21</v>
      </c>
      <c r="E4046" t="s">
        <v>26</v>
      </c>
      <c r="F4046" t="s">
        <v>17</v>
      </c>
      <c r="G4046" t="str">
        <f>"10"</f>
        <v>10</v>
      </c>
      <c r="H4046" t="str">
        <f>"0  "</f>
        <v xml:space="preserve">0  </v>
      </c>
      <c r="I4046" t="str">
        <f>"2020/09/09"</f>
        <v>2020/09/09</v>
      </c>
      <c r="J4046" t="str">
        <f>"420"</f>
        <v>420</v>
      </c>
      <c r="K4046" t="s">
        <v>18</v>
      </c>
      <c r="L4046" t="s">
        <v>18</v>
      </c>
      <c r="M4046" t="s">
        <v>18</v>
      </c>
    </row>
    <row r="4047" spans="1:13" x14ac:dyDescent="0.25">
      <c r="A4047" t="str">
        <f>"00680108"</f>
        <v>00680108</v>
      </c>
      <c r="B4047" t="s">
        <v>3794</v>
      </c>
      <c r="C4047" t="s">
        <v>1669</v>
      </c>
      <c r="D4047" t="s">
        <v>25</v>
      </c>
      <c r="E4047" t="s">
        <v>26</v>
      </c>
      <c r="F4047" t="s">
        <v>17</v>
      </c>
      <c r="G4047" t="str">
        <f>"10"</f>
        <v>10</v>
      </c>
      <c r="H4047" t="str">
        <f>"0  "</f>
        <v xml:space="preserve">0  </v>
      </c>
      <c r="I4047" t="str">
        <f>"2020/08/26"</f>
        <v>2020/08/26</v>
      </c>
      <c r="J4047" t="str">
        <f>"420"</f>
        <v>420</v>
      </c>
      <c r="K4047" t="s">
        <v>18</v>
      </c>
      <c r="L4047" t="s">
        <v>18</v>
      </c>
      <c r="M4047" t="s">
        <v>18</v>
      </c>
    </row>
    <row r="4048" spans="1:13" x14ac:dyDescent="0.25">
      <c r="A4048" t="str">
        <f>"00448620"</f>
        <v>00448620</v>
      </c>
      <c r="B4048" t="s">
        <v>3801</v>
      </c>
      <c r="C4048" t="s">
        <v>3802</v>
      </c>
      <c r="D4048" t="s">
        <v>51</v>
      </c>
      <c r="E4048" t="s">
        <v>26</v>
      </c>
      <c r="F4048" t="s">
        <v>17</v>
      </c>
      <c r="G4048" t="str">
        <f>"10"</f>
        <v>10</v>
      </c>
      <c r="H4048" t="str">
        <f>"3  "</f>
        <v xml:space="preserve">3  </v>
      </c>
      <c r="I4048" t="str">
        <f>"2016/02/24"</f>
        <v>2016/02/24</v>
      </c>
      <c r="J4048" t="str">
        <f>"110"</f>
        <v>110</v>
      </c>
      <c r="K4048" t="str">
        <f>"20230802"</f>
        <v>20230802</v>
      </c>
      <c r="L4048" t="s">
        <v>18</v>
      </c>
      <c r="M4048" t="str">
        <f>"20141124"</f>
        <v>20141124</v>
      </c>
    </row>
    <row r="4049" spans="1:13" x14ac:dyDescent="0.25">
      <c r="A4049" t="str">
        <f>"00741307"</f>
        <v>00741307</v>
      </c>
      <c r="B4049" t="s">
        <v>3803</v>
      </c>
      <c r="C4049" t="s">
        <v>88</v>
      </c>
      <c r="D4049" t="s">
        <v>97</v>
      </c>
      <c r="E4049" t="s">
        <v>26</v>
      </c>
      <c r="F4049" t="s">
        <v>17</v>
      </c>
      <c r="G4049" t="str">
        <f>"10"</f>
        <v>10</v>
      </c>
      <c r="H4049" t="str">
        <f>"3  "</f>
        <v xml:space="preserve">3  </v>
      </c>
      <c r="I4049" t="str">
        <f>"2019/06/24"</f>
        <v>2019/06/24</v>
      </c>
      <c r="J4049" t="str">
        <f>"110"</f>
        <v>110</v>
      </c>
      <c r="K4049" t="str">
        <f>"20211202"</f>
        <v>20211202</v>
      </c>
      <c r="L4049" t="s">
        <v>18</v>
      </c>
      <c r="M4049" t="str">
        <f>"20180624"</f>
        <v>20180624</v>
      </c>
    </row>
    <row r="4050" spans="1:13" x14ac:dyDescent="0.25">
      <c r="A4050" t="str">
        <f>"00367191"</f>
        <v>00367191</v>
      </c>
      <c r="B4050" t="s">
        <v>3805</v>
      </c>
      <c r="C4050" t="s">
        <v>308</v>
      </c>
      <c r="D4050" t="s">
        <v>80</v>
      </c>
      <c r="E4050" t="s">
        <v>16</v>
      </c>
      <c r="F4050" t="s">
        <v>17</v>
      </c>
      <c r="G4050" t="str">
        <f>"10"</f>
        <v>10</v>
      </c>
      <c r="H4050" t="str">
        <f>"3  "</f>
        <v xml:space="preserve">3  </v>
      </c>
      <c r="I4050" t="str">
        <f>"2020/01/15"</f>
        <v>2020/01/15</v>
      </c>
      <c r="J4050" t="str">
        <f>"110"</f>
        <v>110</v>
      </c>
      <c r="K4050" t="str">
        <f>"20211104"</f>
        <v>20211104</v>
      </c>
      <c r="L4050" t="s">
        <v>18</v>
      </c>
      <c r="M4050" t="str">
        <f>"20200115"</f>
        <v>20200115</v>
      </c>
    </row>
    <row r="4051" spans="1:13" x14ac:dyDescent="0.25">
      <c r="A4051" t="str">
        <f>"00495962"</f>
        <v>00495962</v>
      </c>
      <c r="B4051" t="s">
        <v>3818</v>
      </c>
      <c r="C4051" t="s">
        <v>555</v>
      </c>
      <c r="D4051" t="s">
        <v>25</v>
      </c>
      <c r="E4051" t="s">
        <v>26</v>
      </c>
      <c r="F4051" t="s">
        <v>17</v>
      </c>
      <c r="G4051" t="str">
        <f>"10"</f>
        <v>10</v>
      </c>
      <c r="H4051" t="str">
        <f>"3  "</f>
        <v xml:space="preserve">3  </v>
      </c>
      <c r="I4051" t="str">
        <f>"2018/12/18"</f>
        <v>2018/12/18</v>
      </c>
      <c r="J4051" t="str">
        <f>"110"</f>
        <v>110</v>
      </c>
      <c r="K4051" t="str">
        <f>"20211014"</f>
        <v>20211014</v>
      </c>
      <c r="L4051" t="s">
        <v>18</v>
      </c>
      <c r="M4051" t="str">
        <f>"20170710"</f>
        <v>20170710</v>
      </c>
    </row>
    <row r="4052" spans="1:13" x14ac:dyDescent="0.25">
      <c r="A4052" t="s">
        <v>3824</v>
      </c>
      <c r="B4052" t="s">
        <v>3825</v>
      </c>
      <c r="C4052" t="s">
        <v>3826</v>
      </c>
      <c r="D4052" t="s">
        <v>25</v>
      </c>
      <c r="E4052" t="s">
        <v>26</v>
      </c>
      <c r="F4052" t="s">
        <v>17</v>
      </c>
      <c r="G4052" t="str">
        <f>"10"</f>
        <v>10</v>
      </c>
      <c r="H4052" t="str">
        <f>"0  "</f>
        <v xml:space="preserve">0  </v>
      </c>
      <c r="I4052" t="str">
        <f>"2020/09/19"</f>
        <v>2020/09/19</v>
      </c>
      <c r="J4052" t="str">
        <f>"420"</f>
        <v>420</v>
      </c>
      <c r="K4052" t="s">
        <v>18</v>
      </c>
      <c r="L4052" t="s">
        <v>18</v>
      </c>
      <c r="M4052" t="s">
        <v>18</v>
      </c>
    </row>
    <row r="4053" spans="1:13" x14ac:dyDescent="0.25">
      <c r="A4053" t="str">
        <f>"00670041"</f>
        <v>00670041</v>
      </c>
      <c r="B4053" t="s">
        <v>3825</v>
      </c>
      <c r="C4053" t="s">
        <v>1064</v>
      </c>
      <c r="D4053" t="s">
        <v>31</v>
      </c>
      <c r="E4053" t="s">
        <v>26</v>
      </c>
      <c r="F4053" t="s">
        <v>17</v>
      </c>
      <c r="G4053" t="str">
        <f>"10"</f>
        <v>10</v>
      </c>
      <c r="H4053" t="str">
        <f>"0  "</f>
        <v xml:space="preserve">0  </v>
      </c>
      <c r="I4053" t="str">
        <f>"2019/12/20"</f>
        <v>2019/12/20</v>
      </c>
      <c r="J4053" t="str">
        <f>"420"</f>
        <v>420</v>
      </c>
      <c r="K4053" t="s">
        <v>18</v>
      </c>
      <c r="L4053" t="s">
        <v>18</v>
      </c>
      <c r="M4053" t="s">
        <v>18</v>
      </c>
    </row>
    <row r="4054" spans="1:13" x14ac:dyDescent="0.25">
      <c r="A4054" t="str">
        <f>"00725329"</f>
        <v>00725329</v>
      </c>
      <c r="B4054" t="s">
        <v>3825</v>
      </c>
      <c r="C4054" t="s">
        <v>3827</v>
      </c>
      <c r="D4054" t="s">
        <v>40</v>
      </c>
      <c r="E4054" t="s">
        <v>26</v>
      </c>
      <c r="F4054" t="s">
        <v>17</v>
      </c>
      <c r="G4054" t="str">
        <f>"10"</f>
        <v>10</v>
      </c>
      <c r="H4054" t="str">
        <f>"3  "</f>
        <v xml:space="preserve">3  </v>
      </c>
      <c r="I4054" t="str">
        <f>"2015/12/31"</f>
        <v>2015/12/31</v>
      </c>
      <c r="J4054" t="str">
        <f>"110"</f>
        <v>110</v>
      </c>
      <c r="K4054" t="str">
        <f>"20211019"</f>
        <v>20211019</v>
      </c>
      <c r="L4054" t="s">
        <v>18</v>
      </c>
      <c r="M4054" t="str">
        <f>"20150313"</f>
        <v>20150313</v>
      </c>
    </row>
    <row r="4055" spans="1:13" x14ac:dyDescent="0.25">
      <c r="A4055" t="str">
        <f>"00550976"</f>
        <v>00550976</v>
      </c>
      <c r="B4055" t="s">
        <v>3825</v>
      </c>
      <c r="C4055" t="s">
        <v>250</v>
      </c>
      <c r="D4055" t="s">
        <v>25</v>
      </c>
      <c r="E4055" t="s">
        <v>26</v>
      </c>
      <c r="F4055" t="s">
        <v>17</v>
      </c>
      <c r="G4055" t="str">
        <f>"10"</f>
        <v>10</v>
      </c>
      <c r="H4055" t="str">
        <f>"3  "</f>
        <v xml:space="preserve">3  </v>
      </c>
      <c r="I4055" t="str">
        <f>"2020/04/28"</f>
        <v>2020/04/28</v>
      </c>
      <c r="J4055" t="str">
        <f>"110"</f>
        <v>110</v>
      </c>
      <c r="K4055" t="str">
        <f>"20221123"</f>
        <v>20221123</v>
      </c>
      <c r="L4055" t="s">
        <v>18</v>
      </c>
      <c r="M4055" t="str">
        <f>"20190405"</f>
        <v>20190405</v>
      </c>
    </row>
    <row r="4056" spans="1:13" x14ac:dyDescent="0.25">
      <c r="A4056" t="str">
        <f>"00464029"</f>
        <v>00464029</v>
      </c>
      <c r="B4056" t="s">
        <v>3830</v>
      </c>
      <c r="C4056" t="s">
        <v>3831</v>
      </c>
      <c r="D4056" t="s">
        <v>97</v>
      </c>
      <c r="E4056" t="s">
        <v>26</v>
      </c>
      <c r="F4056" t="s">
        <v>17</v>
      </c>
      <c r="G4056" t="str">
        <f>"10"</f>
        <v>10</v>
      </c>
      <c r="H4056" t="str">
        <f>"3  "</f>
        <v xml:space="preserve">3  </v>
      </c>
      <c r="I4056" t="str">
        <f>"2019/07/09"</f>
        <v>2019/07/09</v>
      </c>
      <c r="J4056" t="str">
        <f>"120"</f>
        <v>120</v>
      </c>
      <c r="K4056" t="str">
        <f>"20230515"</f>
        <v>20230515</v>
      </c>
      <c r="L4056" t="s">
        <v>18</v>
      </c>
      <c r="M4056" t="str">
        <f>"20181114"</f>
        <v>20181114</v>
      </c>
    </row>
    <row r="4057" spans="1:13" x14ac:dyDescent="0.25">
      <c r="A4057" t="str">
        <f>"00812080"</f>
        <v>00812080</v>
      </c>
      <c r="B4057" t="s">
        <v>3830</v>
      </c>
      <c r="C4057" t="s">
        <v>302</v>
      </c>
      <c r="D4057" t="s">
        <v>21</v>
      </c>
      <c r="E4057" t="s">
        <v>26</v>
      </c>
      <c r="F4057" t="s">
        <v>17</v>
      </c>
      <c r="G4057" t="str">
        <f>"10"</f>
        <v>10</v>
      </c>
      <c r="H4057" t="str">
        <f>"0  "</f>
        <v xml:space="preserve">0  </v>
      </c>
      <c r="I4057" t="str">
        <f>"2020/09/02"</f>
        <v>2020/09/02</v>
      </c>
      <c r="J4057" t="str">
        <f>"420"</f>
        <v>420</v>
      </c>
      <c r="K4057" t="s">
        <v>18</v>
      </c>
      <c r="L4057" t="s">
        <v>18</v>
      </c>
      <c r="M4057" t="s">
        <v>18</v>
      </c>
    </row>
    <row r="4058" spans="1:13" x14ac:dyDescent="0.25">
      <c r="A4058" t="str">
        <f>"00689621"</f>
        <v>00689621</v>
      </c>
      <c r="B4058" t="s">
        <v>3830</v>
      </c>
      <c r="C4058" t="s">
        <v>353</v>
      </c>
      <c r="D4058" t="s">
        <v>15</v>
      </c>
      <c r="E4058" t="s">
        <v>26</v>
      </c>
      <c r="F4058" t="s">
        <v>17</v>
      </c>
      <c r="G4058" t="str">
        <f>"10"</f>
        <v>10</v>
      </c>
      <c r="H4058" t="str">
        <f>"1  "</f>
        <v xml:space="preserve">1  </v>
      </c>
      <c r="I4058" t="str">
        <f>"2020/09/04"</f>
        <v>2020/09/04</v>
      </c>
      <c r="J4058" t="str">
        <f>"110"</f>
        <v>110</v>
      </c>
      <c r="K4058" t="str">
        <f>"20201001"</f>
        <v>20201001</v>
      </c>
      <c r="L4058" t="s">
        <v>18</v>
      </c>
      <c r="M4058" t="str">
        <f>"20200904"</f>
        <v>20200904</v>
      </c>
    </row>
    <row r="4059" spans="1:13" x14ac:dyDescent="0.25">
      <c r="A4059" t="str">
        <f>"00735851"</f>
        <v>00735851</v>
      </c>
      <c r="B4059" t="s">
        <v>3830</v>
      </c>
      <c r="C4059" t="s">
        <v>3833</v>
      </c>
      <c r="D4059" t="s">
        <v>25</v>
      </c>
      <c r="E4059" t="s">
        <v>26</v>
      </c>
      <c r="F4059" t="s">
        <v>17</v>
      </c>
      <c r="G4059" t="str">
        <f>"10"</f>
        <v>10</v>
      </c>
      <c r="H4059" t="str">
        <f>"3  "</f>
        <v xml:space="preserve">3  </v>
      </c>
      <c r="I4059" t="str">
        <f>"2018/06/18"</f>
        <v>2018/06/18</v>
      </c>
      <c r="J4059" t="str">
        <f>"110"</f>
        <v>110</v>
      </c>
      <c r="K4059" t="str">
        <f>"20220311"</f>
        <v>20220311</v>
      </c>
      <c r="L4059" t="s">
        <v>18</v>
      </c>
      <c r="M4059" t="str">
        <f>"20171105"</f>
        <v>20171105</v>
      </c>
    </row>
    <row r="4060" spans="1:13" x14ac:dyDescent="0.25">
      <c r="A4060" t="str">
        <f>"00806775"</f>
        <v>00806775</v>
      </c>
      <c r="B4060" t="s">
        <v>3835</v>
      </c>
      <c r="C4060" t="s">
        <v>650</v>
      </c>
      <c r="D4060" t="s">
        <v>25</v>
      </c>
      <c r="E4060" t="s">
        <v>26</v>
      </c>
      <c r="F4060" t="s">
        <v>17</v>
      </c>
      <c r="G4060" t="str">
        <f>"10"</f>
        <v>10</v>
      </c>
      <c r="H4060" t="str">
        <f>"0  "</f>
        <v xml:space="preserve">0  </v>
      </c>
      <c r="I4060" t="str">
        <f>"2020/06/16"</f>
        <v>2020/06/16</v>
      </c>
      <c r="J4060" t="str">
        <f>"420"</f>
        <v>420</v>
      </c>
      <c r="K4060" t="s">
        <v>18</v>
      </c>
      <c r="L4060" t="s">
        <v>18</v>
      </c>
      <c r="M4060" t="s">
        <v>18</v>
      </c>
    </row>
    <row r="4061" spans="1:13" x14ac:dyDescent="0.25">
      <c r="A4061" t="str">
        <f>"00595395"</f>
        <v>00595395</v>
      </c>
      <c r="B4061" t="s">
        <v>3837</v>
      </c>
      <c r="C4061" t="s">
        <v>125</v>
      </c>
      <c r="D4061" t="s">
        <v>61</v>
      </c>
      <c r="E4061" t="s">
        <v>16</v>
      </c>
      <c r="F4061" t="s">
        <v>17</v>
      </c>
      <c r="G4061" t="str">
        <f>"10"</f>
        <v>10</v>
      </c>
      <c r="H4061" t="str">
        <f>"3  "</f>
        <v xml:space="preserve">3  </v>
      </c>
      <c r="I4061" t="str">
        <f>"2019/11/14"</f>
        <v>2019/11/14</v>
      </c>
      <c r="J4061" t="str">
        <f>"120"</f>
        <v>120</v>
      </c>
      <c r="K4061" t="str">
        <f>"20230824"</f>
        <v>20230824</v>
      </c>
      <c r="L4061" t="s">
        <v>18</v>
      </c>
      <c r="M4061" t="str">
        <f>"20190625"</f>
        <v>20190625</v>
      </c>
    </row>
    <row r="4062" spans="1:13" x14ac:dyDescent="0.25">
      <c r="A4062" t="str">
        <f>"00816094"</f>
        <v>00816094</v>
      </c>
      <c r="B4062" t="s">
        <v>3839</v>
      </c>
      <c r="C4062" t="s">
        <v>624</v>
      </c>
      <c r="D4062" t="s">
        <v>25</v>
      </c>
      <c r="E4062" t="s">
        <v>26</v>
      </c>
      <c r="F4062" t="s">
        <v>17</v>
      </c>
      <c r="G4062" t="str">
        <f>"10"</f>
        <v>10</v>
      </c>
      <c r="H4062" t="str">
        <f>"3  "</f>
        <v xml:space="preserve">3  </v>
      </c>
      <c r="I4062" t="str">
        <f>"2017/08/10"</f>
        <v>2017/08/10</v>
      </c>
      <c r="J4062" t="str">
        <f>"110"</f>
        <v>110</v>
      </c>
      <c r="K4062" t="str">
        <f>"20240721"</f>
        <v>20240721</v>
      </c>
      <c r="L4062" t="s">
        <v>18</v>
      </c>
      <c r="M4062" t="str">
        <f>"20170309"</f>
        <v>20170309</v>
      </c>
    </row>
    <row r="4063" spans="1:13" x14ac:dyDescent="0.25">
      <c r="A4063" t="str">
        <f>"00525070"</f>
        <v>00525070</v>
      </c>
      <c r="B4063" t="s">
        <v>3839</v>
      </c>
      <c r="C4063" t="s">
        <v>3840</v>
      </c>
      <c r="D4063" t="s">
        <v>121</v>
      </c>
      <c r="E4063" t="s">
        <v>26</v>
      </c>
      <c r="F4063" t="s">
        <v>17</v>
      </c>
      <c r="G4063" t="str">
        <f>"10"</f>
        <v>10</v>
      </c>
      <c r="H4063" t="str">
        <f>"0  "</f>
        <v xml:space="preserve">0  </v>
      </c>
      <c r="I4063" t="str">
        <f>"2019/09/19"</f>
        <v>2019/09/19</v>
      </c>
      <c r="J4063" t="str">
        <f>"502"</f>
        <v>502</v>
      </c>
      <c r="K4063" t="s">
        <v>18</v>
      </c>
      <c r="L4063" t="s">
        <v>18</v>
      </c>
      <c r="M4063" t="s">
        <v>18</v>
      </c>
    </row>
    <row r="4064" spans="1:13" x14ac:dyDescent="0.25">
      <c r="A4064" t="str">
        <f>"00544945"</f>
        <v>00544945</v>
      </c>
      <c r="B4064" t="s">
        <v>3839</v>
      </c>
      <c r="C4064" t="s">
        <v>3841</v>
      </c>
      <c r="D4064" t="s">
        <v>25</v>
      </c>
      <c r="E4064" t="s">
        <v>26</v>
      </c>
      <c r="F4064" t="s">
        <v>17</v>
      </c>
      <c r="G4064" t="str">
        <f>"10"</f>
        <v>10</v>
      </c>
      <c r="H4064" t="str">
        <f>"0  "</f>
        <v xml:space="preserve">0  </v>
      </c>
      <c r="I4064" t="str">
        <f>"2018/03/29"</f>
        <v>2018/03/29</v>
      </c>
      <c r="J4064" t="str">
        <f>"420"</f>
        <v>420</v>
      </c>
      <c r="K4064" t="s">
        <v>18</v>
      </c>
      <c r="L4064" t="s">
        <v>18</v>
      </c>
      <c r="M4064" t="s">
        <v>18</v>
      </c>
    </row>
    <row r="4065" spans="1:13" x14ac:dyDescent="0.25">
      <c r="A4065" t="str">
        <f>"00520729"</f>
        <v>00520729</v>
      </c>
      <c r="B4065" t="s">
        <v>3839</v>
      </c>
      <c r="C4065" t="s">
        <v>544</v>
      </c>
      <c r="D4065" t="s">
        <v>51</v>
      </c>
      <c r="E4065" t="s">
        <v>26</v>
      </c>
      <c r="F4065" t="s">
        <v>17</v>
      </c>
      <c r="G4065" t="str">
        <f>"10"</f>
        <v>10</v>
      </c>
      <c r="H4065" t="str">
        <f>"1  "</f>
        <v xml:space="preserve">1  </v>
      </c>
      <c r="I4065" t="str">
        <f>"2020/08/17"</f>
        <v>2020/08/17</v>
      </c>
      <c r="J4065" t="str">
        <f>"110"</f>
        <v>110</v>
      </c>
      <c r="K4065" t="str">
        <f>"20201108"</f>
        <v>20201108</v>
      </c>
      <c r="L4065" t="s">
        <v>18</v>
      </c>
      <c r="M4065" t="str">
        <f>"20200720"</f>
        <v>20200720</v>
      </c>
    </row>
    <row r="4066" spans="1:13" x14ac:dyDescent="0.25">
      <c r="A4066" t="str">
        <f>"00316522"</f>
        <v>00316522</v>
      </c>
      <c r="B4066" t="s">
        <v>3847</v>
      </c>
      <c r="C4066" t="s">
        <v>96</v>
      </c>
      <c r="D4066" t="s">
        <v>456</v>
      </c>
      <c r="E4066" t="s">
        <v>26</v>
      </c>
      <c r="F4066" t="s">
        <v>17</v>
      </c>
      <c r="G4066" t="str">
        <f>"10"</f>
        <v>10</v>
      </c>
      <c r="H4066" t="str">
        <f>"3  "</f>
        <v xml:space="preserve">3  </v>
      </c>
      <c r="I4066" t="str">
        <f>"2020/05/19"</f>
        <v>2020/05/19</v>
      </c>
      <c r="J4066" t="str">
        <f>"110"</f>
        <v>110</v>
      </c>
      <c r="K4066" t="str">
        <f>"20211026"</f>
        <v>20211026</v>
      </c>
      <c r="L4066" t="s">
        <v>18</v>
      </c>
      <c r="M4066" t="str">
        <f>"20191226"</f>
        <v>20191226</v>
      </c>
    </row>
    <row r="4067" spans="1:13" x14ac:dyDescent="0.25">
      <c r="A4067" t="str">
        <f>"00728074"</f>
        <v>00728074</v>
      </c>
      <c r="B4067" t="s">
        <v>3847</v>
      </c>
      <c r="C4067" t="s">
        <v>3851</v>
      </c>
      <c r="D4067" t="s">
        <v>40</v>
      </c>
      <c r="E4067" t="s">
        <v>26</v>
      </c>
      <c r="F4067" t="s">
        <v>17</v>
      </c>
      <c r="G4067" t="str">
        <f>"10"</f>
        <v>10</v>
      </c>
      <c r="H4067" t="str">
        <f>"0  "</f>
        <v xml:space="preserve">0  </v>
      </c>
      <c r="I4067" t="str">
        <f>"2020/07/24"</f>
        <v>2020/07/24</v>
      </c>
      <c r="J4067" t="str">
        <f>"420"</f>
        <v>420</v>
      </c>
      <c r="K4067" t="s">
        <v>18</v>
      </c>
      <c r="L4067" t="s">
        <v>18</v>
      </c>
      <c r="M4067" t="s">
        <v>18</v>
      </c>
    </row>
    <row r="4068" spans="1:13" x14ac:dyDescent="0.25">
      <c r="A4068" t="str">
        <f>"00432571"</f>
        <v>00432571</v>
      </c>
      <c r="B4068" t="s">
        <v>3847</v>
      </c>
      <c r="C4068" t="s">
        <v>72</v>
      </c>
      <c r="D4068" t="s">
        <v>51</v>
      </c>
      <c r="E4068" t="s">
        <v>26</v>
      </c>
      <c r="F4068" t="s">
        <v>17</v>
      </c>
      <c r="G4068" t="str">
        <f>"10"</f>
        <v>10</v>
      </c>
      <c r="H4068" t="str">
        <f>"3  "</f>
        <v xml:space="preserve">3  </v>
      </c>
      <c r="I4068" t="str">
        <f>"2018/12/01"</f>
        <v>2018/12/01</v>
      </c>
      <c r="J4068" t="str">
        <f>"110"</f>
        <v>110</v>
      </c>
      <c r="K4068" t="str">
        <f>"20250309"</f>
        <v>20250309</v>
      </c>
      <c r="L4068" t="s">
        <v>18</v>
      </c>
      <c r="M4068" t="str">
        <f>"20180307"</f>
        <v>20180307</v>
      </c>
    </row>
    <row r="4069" spans="1:13" x14ac:dyDescent="0.25">
      <c r="A4069" t="str">
        <f>"00550827"</f>
        <v>00550827</v>
      </c>
      <c r="B4069" t="s">
        <v>3847</v>
      </c>
      <c r="C4069" t="s">
        <v>74</v>
      </c>
      <c r="D4069" t="s">
        <v>61</v>
      </c>
      <c r="E4069" t="s">
        <v>16</v>
      </c>
      <c r="F4069" t="s">
        <v>17</v>
      </c>
      <c r="G4069" t="str">
        <f>"10"</f>
        <v>10</v>
      </c>
      <c r="H4069" t="str">
        <f>"3  "</f>
        <v xml:space="preserve">3  </v>
      </c>
      <c r="I4069" t="str">
        <f>"2017/10/09"</f>
        <v>2017/10/09</v>
      </c>
      <c r="J4069" t="str">
        <f>"110"</f>
        <v>110</v>
      </c>
      <c r="K4069" t="str">
        <f>"20201017"</f>
        <v>20201017</v>
      </c>
      <c r="L4069" t="s">
        <v>18</v>
      </c>
      <c r="M4069" t="str">
        <f>"20161005"</f>
        <v>20161005</v>
      </c>
    </row>
    <row r="4070" spans="1:13" x14ac:dyDescent="0.25">
      <c r="A4070" t="str">
        <f>"00617613"</f>
        <v>00617613</v>
      </c>
      <c r="B4070" t="s">
        <v>3847</v>
      </c>
      <c r="C4070" t="s">
        <v>3855</v>
      </c>
      <c r="D4070" t="s">
        <v>45</v>
      </c>
      <c r="E4070" t="s">
        <v>26</v>
      </c>
      <c r="F4070" t="s">
        <v>17</v>
      </c>
      <c r="G4070" t="str">
        <f>"10"</f>
        <v>10</v>
      </c>
      <c r="H4070" t="str">
        <f>"3  "</f>
        <v xml:space="preserve">3  </v>
      </c>
      <c r="I4070" t="str">
        <f>"2019/10/15"</f>
        <v>2019/10/15</v>
      </c>
      <c r="J4070" t="str">
        <f>"110"</f>
        <v>110</v>
      </c>
      <c r="K4070" t="str">
        <f>"20201101"</f>
        <v>20201101</v>
      </c>
      <c r="L4070" t="s">
        <v>18</v>
      </c>
      <c r="M4070" t="str">
        <f>"20190216"</f>
        <v>20190216</v>
      </c>
    </row>
    <row r="4071" spans="1:13" x14ac:dyDescent="0.25">
      <c r="A4071" t="str">
        <f>"00531049"</f>
        <v>00531049</v>
      </c>
      <c r="B4071" t="s">
        <v>3847</v>
      </c>
      <c r="C4071" t="s">
        <v>3856</v>
      </c>
      <c r="D4071" t="s">
        <v>25</v>
      </c>
      <c r="E4071" t="s">
        <v>26</v>
      </c>
      <c r="F4071" t="s">
        <v>17</v>
      </c>
      <c r="G4071" t="str">
        <f>"10"</f>
        <v>10</v>
      </c>
      <c r="H4071" t="str">
        <f>"3  "</f>
        <v xml:space="preserve">3  </v>
      </c>
      <c r="I4071" t="str">
        <f>"2018/03/10"</f>
        <v>2018/03/10</v>
      </c>
      <c r="J4071" t="str">
        <f>"110"</f>
        <v>110</v>
      </c>
      <c r="K4071" t="str">
        <f>"20220104"</f>
        <v>20220104</v>
      </c>
      <c r="L4071" t="s">
        <v>18</v>
      </c>
      <c r="M4071" t="str">
        <f>"20170216"</f>
        <v>20170216</v>
      </c>
    </row>
    <row r="4072" spans="1:13" x14ac:dyDescent="0.25">
      <c r="A4072" t="str">
        <f>"00811785"</f>
        <v>00811785</v>
      </c>
      <c r="B4072" t="s">
        <v>3847</v>
      </c>
      <c r="C4072" t="s">
        <v>3857</v>
      </c>
      <c r="D4072" t="s">
        <v>31</v>
      </c>
      <c r="E4072" t="s">
        <v>26</v>
      </c>
      <c r="F4072" t="s">
        <v>17</v>
      </c>
      <c r="G4072" t="str">
        <f>"10"</f>
        <v>10</v>
      </c>
      <c r="H4072" t="str">
        <f>"0  "</f>
        <v xml:space="preserve">0  </v>
      </c>
      <c r="I4072" t="str">
        <f>"2020/08/08"</f>
        <v>2020/08/08</v>
      </c>
      <c r="J4072" t="str">
        <f>"420"</f>
        <v>420</v>
      </c>
      <c r="K4072" t="s">
        <v>18</v>
      </c>
      <c r="L4072" t="s">
        <v>18</v>
      </c>
      <c r="M4072" t="s">
        <v>18</v>
      </c>
    </row>
    <row r="4073" spans="1:13" x14ac:dyDescent="0.25">
      <c r="A4073" t="str">
        <f>"00425039"</f>
        <v>00425039</v>
      </c>
      <c r="B4073" t="s">
        <v>3847</v>
      </c>
      <c r="C4073" t="s">
        <v>59</v>
      </c>
      <c r="D4073" t="s">
        <v>61</v>
      </c>
      <c r="E4073" t="s">
        <v>16</v>
      </c>
      <c r="F4073" t="s">
        <v>17</v>
      </c>
      <c r="G4073" t="str">
        <f>"10"</f>
        <v>10</v>
      </c>
      <c r="H4073" t="str">
        <f>"3  "</f>
        <v xml:space="preserve">3  </v>
      </c>
      <c r="I4073" t="str">
        <f>"2018/12/10"</f>
        <v>2018/12/10</v>
      </c>
      <c r="J4073" t="str">
        <f>"110"</f>
        <v>110</v>
      </c>
      <c r="K4073" t="str">
        <f>"20230404"</f>
        <v>20230404</v>
      </c>
      <c r="L4073" t="s">
        <v>18</v>
      </c>
      <c r="M4073" t="str">
        <f>"20180126"</f>
        <v>20180126</v>
      </c>
    </row>
    <row r="4074" spans="1:13" x14ac:dyDescent="0.25">
      <c r="A4074" t="str">
        <f>"00701646"</f>
        <v>00701646</v>
      </c>
      <c r="B4074" t="s">
        <v>3859</v>
      </c>
      <c r="C4074" t="s">
        <v>3860</v>
      </c>
      <c r="D4074" t="s">
        <v>97</v>
      </c>
      <c r="E4074" t="s">
        <v>16</v>
      </c>
      <c r="F4074" t="s">
        <v>17</v>
      </c>
      <c r="G4074" t="str">
        <f>"10"</f>
        <v>10</v>
      </c>
      <c r="H4074" t="str">
        <f>"0  "</f>
        <v xml:space="preserve">0  </v>
      </c>
      <c r="I4074" t="str">
        <f>"2020/09/02"</f>
        <v>2020/09/02</v>
      </c>
      <c r="J4074" t="str">
        <f>"420"</f>
        <v>420</v>
      </c>
      <c r="K4074" t="s">
        <v>18</v>
      </c>
      <c r="L4074" t="s">
        <v>18</v>
      </c>
      <c r="M4074" t="s">
        <v>18</v>
      </c>
    </row>
    <row r="4075" spans="1:13" x14ac:dyDescent="0.25">
      <c r="A4075" t="str">
        <f>"00165015"</f>
        <v>00165015</v>
      </c>
      <c r="B4075" t="s">
        <v>3861</v>
      </c>
      <c r="C4075" t="s">
        <v>3862</v>
      </c>
      <c r="D4075" t="s">
        <v>37</v>
      </c>
      <c r="E4075" t="s">
        <v>26</v>
      </c>
      <c r="F4075" t="s">
        <v>17</v>
      </c>
      <c r="G4075" t="str">
        <f>"10"</f>
        <v>10</v>
      </c>
      <c r="H4075" t="str">
        <f>"3  "</f>
        <v xml:space="preserve">3  </v>
      </c>
      <c r="I4075" t="str">
        <f>"2019/09/14"</f>
        <v>2019/09/14</v>
      </c>
      <c r="J4075" t="str">
        <f>"120"</f>
        <v>120</v>
      </c>
      <c r="K4075" t="str">
        <f>"20230821"</f>
        <v>20230821</v>
      </c>
      <c r="L4075" t="s">
        <v>18</v>
      </c>
      <c r="M4075" t="str">
        <f>"20180528"</f>
        <v>20180528</v>
      </c>
    </row>
    <row r="4076" spans="1:13" x14ac:dyDescent="0.25">
      <c r="A4076" t="str">
        <f>"00496061"</f>
        <v>00496061</v>
      </c>
      <c r="B4076" t="s">
        <v>3867</v>
      </c>
      <c r="C4076" t="s">
        <v>3868</v>
      </c>
      <c r="D4076" t="s">
        <v>25</v>
      </c>
      <c r="E4076" t="s">
        <v>26</v>
      </c>
      <c r="F4076" t="s">
        <v>17</v>
      </c>
      <c r="G4076" t="str">
        <f>"10"</f>
        <v>10</v>
      </c>
      <c r="H4076" t="str">
        <f>"0  "</f>
        <v xml:space="preserve">0  </v>
      </c>
      <c r="I4076" t="str">
        <f>"2020/08/03"</f>
        <v>2020/08/03</v>
      </c>
      <c r="J4076" t="str">
        <f>"420"</f>
        <v>420</v>
      </c>
      <c r="K4076" t="s">
        <v>18</v>
      </c>
      <c r="L4076" t="s">
        <v>18</v>
      </c>
      <c r="M4076" t="s">
        <v>18</v>
      </c>
    </row>
    <row r="4077" spans="1:13" x14ac:dyDescent="0.25">
      <c r="A4077" t="str">
        <f>"00483745"</f>
        <v>00483745</v>
      </c>
      <c r="B4077" t="s">
        <v>3871</v>
      </c>
      <c r="C4077" t="s">
        <v>3872</v>
      </c>
      <c r="D4077" t="s">
        <v>51</v>
      </c>
      <c r="E4077" t="s">
        <v>26</v>
      </c>
      <c r="F4077" t="s">
        <v>17</v>
      </c>
      <c r="G4077" t="str">
        <f>"10"</f>
        <v>10</v>
      </c>
      <c r="H4077" t="str">
        <f>"1  "</f>
        <v xml:space="preserve">1  </v>
      </c>
      <c r="I4077" t="str">
        <f>"2020/08/27"</f>
        <v>2020/08/27</v>
      </c>
      <c r="J4077" t="str">
        <f>"110"</f>
        <v>110</v>
      </c>
      <c r="K4077" t="str">
        <f>"20210202"</f>
        <v>20210202</v>
      </c>
      <c r="L4077" t="s">
        <v>18</v>
      </c>
      <c r="M4077" t="str">
        <f>"20200227"</f>
        <v>20200227</v>
      </c>
    </row>
    <row r="4078" spans="1:13" x14ac:dyDescent="0.25">
      <c r="A4078" t="str">
        <f>"00400457"</f>
        <v>00400457</v>
      </c>
      <c r="B4078" t="s">
        <v>3876</v>
      </c>
      <c r="C4078" t="s">
        <v>1138</v>
      </c>
      <c r="D4078" t="s">
        <v>25</v>
      </c>
      <c r="E4078" t="s">
        <v>26</v>
      </c>
      <c r="F4078" t="s">
        <v>17</v>
      </c>
      <c r="G4078" t="str">
        <f>"10"</f>
        <v>10</v>
      </c>
      <c r="H4078" t="str">
        <f>"3  "</f>
        <v xml:space="preserve">3  </v>
      </c>
      <c r="I4078" t="str">
        <f>"2014/10/09"</f>
        <v>2014/10/09</v>
      </c>
      <c r="J4078" t="str">
        <f>"110"</f>
        <v>110</v>
      </c>
      <c r="K4078" t="str">
        <f>"20221009"</f>
        <v>20221009</v>
      </c>
      <c r="L4078" t="s">
        <v>18</v>
      </c>
      <c r="M4078" t="str">
        <f>"20130712"</f>
        <v>20130712</v>
      </c>
    </row>
    <row r="4079" spans="1:13" x14ac:dyDescent="0.25">
      <c r="A4079" t="str">
        <f>"00543460"</f>
        <v>00543460</v>
      </c>
      <c r="B4079" t="s">
        <v>3884</v>
      </c>
      <c r="C4079" t="s">
        <v>1895</v>
      </c>
      <c r="D4079" t="s">
        <v>37</v>
      </c>
      <c r="E4079" t="s">
        <v>16</v>
      </c>
      <c r="F4079" t="s">
        <v>17</v>
      </c>
      <c r="G4079" t="str">
        <f>"10"</f>
        <v>10</v>
      </c>
      <c r="H4079" t="str">
        <f>"3  "</f>
        <v xml:space="preserve">3  </v>
      </c>
      <c r="I4079" t="str">
        <f>"2020/03/09"</f>
        <v>2020/03/09</v>
      </c>
      <c r="J4079" t="str">
        <f>"110"</f>
        <v>110</v>
      </c>
      <c r="K4079" t="str">
        <f>"20260730"</f>
        <v>20260730</v>
      </c>
      <c r="L4079" t="s">
        <v>18</v>
      </c>
      <c r="M4079" t="str">
        <f>"20190505"</f>
        <v>20190505</v>
      </c>
    </row>
    <row r="4080" spans="1:13" x14ac:dyDescent="0.25">
      <c r="A4080" t="str">
        <f>"00208341"</f>
        <v>00208341</v>
      </c>
      <c r="B4080" t="s">
        <v>3886</v>
      </c>
      <c r="C4080" t="s">
        <v>96</v>
      </c>
      <c r="D4080" t="s">
        <v>91</v>
      </c>
      <c r="E4080" t="s">
        <v>26</v>
      </c>
      <c r="F4080" t="s">
        <v>17</v>
      </c>
      <c r="G4080" t="str">
        <f>"10"</f>
        <v>10</v>
      </c>
      <c r="H4080" t="str">
        <f>"0  "</f>
        <v xml:space="preserve">0  </v>
      </c>
      <c r="I4080" t="str">
        <f>"2020/07/27"</f>
        <v>2020/07/27</v>
      </c>
      <c r="J4080" t="str">
        <f>"420"</f>
        <v>420</v>
      </c>
      <c r="K4080" t="s">
        <v>18</v>
      </c>
      <c r="L4080" t="s">
        <v>18</v>
      </c>
      <c r="M4080" t="s">
        <v>18</v>
      </c>
    </row>
    <row r="4081" spans="1:13" x14ac:dyDescent="0.25">
      <c r="A4081" t="str">
        <f>"00813548"</f>
        <v>00813548</v>
      </c>
      <c r="B4081" t="s">
        <v>3890</v>
      </c>
      <c r="C4081" t="s">
        <v>3891</v>
      </c>
      <c r="D4081" t="s">
        <v>51</v>
      </c>
      <c r="E4081" t="s">
        <v>26</v>
      </c>
      <c r="F4081" t="s">
        <v>17</v>
      </c>
      <c r="G4081" t="str">
        <f>"10"</f>
        <v>10</v>
      </c>
      <c r="H4081" t="str">
        <f>"3  "</f>
        <v xml:space="preserve">3  </v>
      </c>
      <c r="I4081" t="str">
        <f>"2020/05/01"</f>
        <v>2020/05/01</v>
      </c>
      <c r="J4081" t="str">
        <f>"110"</f>
        <v>110</v>
      </c>
      <c r="K4081" t="str">
        <f>"20220720"</f>
        <v>20220720</v>
      </c>
      <c r="L4081" t="s">
        <v>18</v>
      </c>
      <c r="M4081" t="str">
        <f>"20191025"</f>
        <v>20191025</v>
      </c>
    </row>
    <row r="4082" spans="1:13" x14ac:dyDescent="0.25">
      <c r="A4082" t="str">
        <f>"00926370"</f>
        <v>00926370</v>
      </c>
      <c r="B4082" t="s">
        <v>3892</v>
      </c>
      <c r="C4082" t="s">
        <v>74</v>
      </c>
      <c r="D4082" t="s">
        <v>25</v>
      </c>
      <c r="E4082" t="s">
        <v>26</v>
      </c>
      <c r="F4082" t="s">
        <v>17</v>
      </c>
      <c r="G4082" t="str">
        <f>"10"</f>
        <v>10</v>
      </c>
      <c r="H4082" t="str">
        <f>"3  "</f>
        <v xml:space="preserve">3  </v>
      </c>
      <c r="I4082" t="str">
        <f>"2020/02/18"</f>
        <v>2020/02/18</v>
      </c>
      <c r="J4082" t="str">
        <f>"110"</f>
        <v>110</v>
      </c>
      <c r="K4082" t="str">
        <f>"20201207"</f>
        <v>20201207</v>
      </c>
      <c r="L4082" t="str">
        <f>"20200801"</f>
        <v>20200801</v>
      </c>
      <c r="M4082" t="str">
        <f>"20150825"</f>
        <v>20150825</v>
      </c>
    </row>
    <row r="4083" spans="1:13" x14ac:dyDescent="0.25">
      <c r="A4083" t="str">
        <f>"00363659"</f>
        <v>00363659</v>
      </c>
      <c r="B4083" t="s">
        <v>3904</v>
      </c>
      <c r="C4083" t="s">
        <v>55</v>
      </c>
      <c r="D4083" t="s">
        <v>61</v>
      </c>
      <c r="E4083" t="s">
        <v>26</v>
      </c>
      <c r="F4083" t="s">
        <v>17</v>
      </c>
      <c r="G4083" t="str">
        <f>"10"</f>
        <v>10</v>
      </c>
      <c r="H4083" t="str">
        <f>"3  "</f>
        <v xml:space="preserve">3  </v>
      </c>
      <c r="I4083" t="str">
        <f>"2020/01/24"</f>
        <v>2020/01/24</v>
      </c>
      <c r="J4083" t="str">
        <f>"120"</f>
        <v>120</v>
      </c>
      <c r="K4083" t="str">
        <f>"20201220"</f>
        <v>20201220</v>
      </c>
      <c r="L4083" t="s">
        <v>18</v>
      </c>
      <c r="M4083" t="str">
        <f>"20191001"</f>
        <v>20191001</v>
      </c>
    </row>
    <row r="4084" spans="1:13" x14ac:dyDescent="0.25">
      <c r="A4084" t="str">
        <f>"00521649"</f>
        <v>00521649</v>
      </c>
      <c r="B4084" t="s">
        <v>3908</v>
      </c>
      <c r="C4084" t="s">
        <v>176</v>
      </c>
      <c r="D4084" t="s">
        <v>25</v>
      </c>
      <c r="E4084" t="s">
        <v>16</v>
      </c>
      <c r="F4084" t="s">
        <v>17</v>
      </c>
      <c r="G4084" t="str">
        <f>"10"</f>
        <v>10</v>
      </c>
      <c r="H4084" t="str">
        <f>"3  "</f>
        <v xml:space="preserve">3  </v>
      </c>
      <c r="I4084" t="str">
        <f>"2020/08/31"</f>
        <v>2020/08/31</v>
      </c>
      <c r="J4084" t="str">
        <f>"110"</f>
        <v>110</v>
      </c>
      <c r="K4084" t="str">
        <f>"20280520"</f>
        <v>20280520</v>
      </c>
      <c r="L4084" t="s">
        <v>18</v>
      </c>
      <c r="M4084" t="str">
        <f>"20190604"</f>
        <v>20190604</v>
      </c>
    </row>
    <row r="4085" spans="1:13" x14ac:dyDescent="0.25">
      <c r="A4085" t="str">
        <f>"00755586"</f>
        <v>00755586</v>
      </c>
      <c r="B4085" t="s">
        <v>3908</v>
      </c>
      <c r="C4085" t="s">
        <v>2321</v>
      </c>
      <c r="D4085" t="s">
        <v>25</v>
      </c>
      <c r="E4085" t="s">
        <v>26</v>
      </c>
      <c r="F4085" t="s">
        <v>17</v>
      </c>
      <c r="G4085" t="str">
        <f>"10"</f>
        <v>10</v>
      </c>
      <c r="H4085" t="str">
        <f>"0  "</f>
        <v xml:space="preserve">0  </v>
      </c>
      <c r="I4085" t="str">
        <f>"2020/08/14"</f>
        <v>2020/08/14</v>
      </c>
      <c r="J4085" t="str">
        <f>"420"</f>
        <v>420</v>
      </c>
      <c r="K4085" t="s">
        <v>18</v>
      </c>
      <c r="L4085" t="s">
        <v>18</v>
      </c>
      <c r="M4085" t="s">
        <v>18</v>
      </c>
    </row>
    <row r="4086" spans="1:13" x14ac:dyDescent="0.25">
      <c r="A4086" t="str">
        <f>"00498126"</f>
        <v>00498126</v>
      </c>
      <c r="B4086" t="s">
        <v>3908</v>
      </c>
      <c r="C4086" t="s">
        <v>3913</v>
      </c>
      <c r="D4086" t="s">
        <v>26</v>
      </c>
      <c r="E4086" t="s">
        <v>26</v>
      </c>
      <c r="F4086" t="s">
        <v>17</v>
      </c>
      <c r="G4086" t="str">
        <f>"10"</f>
        <v>10</v>
      </c>
      <c r="H4086" t="str">
        <f>"3  "</f>
        <v xml:space="preserve">3  </v>
      </c>
      <c r="I4086" t="str">
        <f>"2020/01/06"</f>
        <v>2020/01/06</v>
      </c>
      <c r="J4086" t="str">
        <f>"110"</f>
        <v>110</v>
      </c>
      <c r="K4086" t="str">
        <f>"20260702"</f>
        <v>20260702</v>
      </c>
      <c r="L4086" t="s">
        <v>18</v>
      </c>
      <c r="M4086" t="str">
        <f>"20190424"</f>
        <v>20190424</v>
      </c>
    </row>
    <row r="4087" spans="1:13" x14ac:dyDescent="0.25">
      <c r="A4087" t="str">
        <f>"00335431"</f>
        <v>00335431</v>
      </c>
      <c r="B4087" t="s">
        <v>3922</v>
      </c>
      <c r="C4087" t="s">
        <v>3924</v>
      </c>
      <c r="D4087" t="s">
        <v>25</v>
      </c>
      <c r="E4087" t="s">
        <v>26</v>
      </c>
      <c r="F4087" t="s">
        <v>17</v>
      </c>
      <c r="G4087" t="str">
        <f>"10"</f>
        <v>10</v>
      </c>
      <c r="H4087" t="str">
        <f>"3  "</f>
        <v xml:space="preserve">3  </v>
      </c>
      <c r="I4087" t="str">
        <f>"2020/08/18"</f>
        <v>2020/08/18</v>
      </c>
      <c r="J4087" t="str">
        <f>"120"</f>
        <v>120</v>
      </c>
      <c r="K4087" t="str">
        <f>"20380214"</f>
        <v>20380214</v>
      </c>
      <c r="L4087" t="s">
        <v>18</v>
      </c>
      <c r="M4087" t="str">
        <f>"20200803"</f>
        <v>20200803</v>
      </c>
    </row>
    <row r="4088" spans="1:13" x14ac:dyDescent="0.25">
      <c r="A4088" t="str">
        <f>"00491005"</f>
        <v>00491005</v>
      </c>
      <c r="B4088" t="s">
        <v>3928</v>
      </c>
      <c r="C4088" t="s">
        <v>146</v>
      </c>
      <c r="D4088" t="s">
        <v>16</v>
      </c>
      <c r="E4088" t="s">
        <v>26</v>
      </c>
      <c r="F4088" t="s">
        <v>17</v>
      </c>
      <c r="G4088" t="str">
        <f>"10"</f>
        <v>10</v>
      </c>
      <c r="H4088" t="str">
        <f>"3  "</f>
        <v xml:space="preserve">3  </v>
      </c>
      <c r="I4088" t="str">
        <f>"2018/09/06"</f>
        <v>2018/09/06</v>
      </c>
      <c r="J4088" t="str">
        <f>"502"</f>
        <v>502</v>
      </c>
      <c r="K4088" t="str">
        <f>"20210124"</f>
        <v>20210124</v>
      </c>
      <c r="L4088" t="s">
        <v>18</v>
      </c>
      <c r="M4088" t="str">
        <f>"20100623"</f>
        <v>20100623</v>
      </c>
    </row>
    <row r="4089" spans="1:13" x14ac:dyDescent="0.25">
      <c r="A4089" t="str">
        <f>"00495551"</f>
        <v>00495551</v>
      </c>
      <c r="B4089" t="s">
        <v>3928</v>
      </c>
      <c r="C4089" t="s">
        <v>74</v>
      </c>
      <c r="D4089" t="s">
        <v>97</v>
      </c>
      <c r="E4089" t="s">
        <v>26</v>
      </c>
      <c r="F4089" t="s">
        <v>17</v>
      </c>
      <c r="G4089" t="str">
        <f>"10"</f>
        <v>10</v>
      </c>
      <c r="H4089" t="str">
        <f>"3  "</f>
        <v xml:space="preserve">3  </v>
      </c>
      <c r="I4089" t="str">
        <f>"2016/05/20"</f>
        <v>2016/05/20</v>
      </c>
      <c r="J4089" t="str">
        <f>"110"</f>
        <v>110</v>
      </c>
      <c r="K4089" t="str">
        <f>"20220623"</f>
        <v>20220623</v>
      </c>
      <c r="L4089" t="s">
        <v>18</v>
      </c>
      <c r="M4089" t="str">
        <f>"20151115"</f>
        <v>20151115</v>
      </c>
    </row>
    <row r="4090" spans="1:13" x14ac:dyDescent="0.25">
      <c r="A4090" t="str">
        <f>"00933940"</f>
        <v>00933940</v>
      </c>
      <c r="B4090" t="s">
        <v>3931</v>
      </c>
      <c r="C4090" t="s">
        <v>754</v>
      </c>
      <c r="D4090" t="s">
        <v>15</v>
      </c>
      <c r="E4090" t="s">
        <v>16</v>
      </c>
      <c r="F4090" t="s">
        <v>17</v>
      </c>
      <c r="G4090" t="str">
        <f>"10"</f>
        <v>10</v>
      </c>
      <c r="H4090" t="str">
        <f>"0  "</f>
        <v xml:space="preserve">0  </v>
      </c>
      <c r="I4090" t="str">
        <f>"2020/08/01"</f>
        <v>2020/08/01</v>
      </c>
      <c r="J4090" t="str">
        <f>"512"</f>
        <v>512</v>
      </c>
      <c r="K4090" t="s">
        <v>18</v>
      </c>
      <c r="L4090" t="s">
        <v>18</v>
      </c>
      <c r="M4090" t="s">
        <v>18</v>
      </c>
    </row>
    <row r="4091" spans="1:13" x14ac:dyDescent="0.25">
      <c r="A4091" t="str">
        <f>"00611997"</f>
        <v>00611997</v>
      </c>
      <c r="B4091" t="s">
        <v>3934</v>
      </c>
      <c r="C4091" t="s">
        <v>55</v>
      </c>
      <c r="D4091" t="s">
        <v>15</v>
      </c>
      <c r="E4091" t="s">
        <v>26</v>
      </c>
      <c r="F4091" t="s">
        <v>17</v>
      </c>
      <c r="G4091" t="str">
        <f>"10"</f>
        <v>10</v>
      </c>
      <c r="H4091" t="str">
        <f>"3  "</f>
        <v xml:space="preserve">3  </v>
      </c>
      <c r="I4091" t="str">
        <f>"2019/04/30"</f>
        <v>2019/04/30</v>
      </c>
      <c r="J4091" t="str">
        <f>"110"</f>
        <v>110</v>
      </c>
      <c r="K4091" t="str">
        <f>"20230515"</f>
        <v>20230515</v>
      </c>
      <c r="L4091" t="s">
        <v>18</v>
      </c>
      <c r="M4091" t="str">
        <f>"20190108"</f>
        <v>20190108</v>
      </c>
    </row>
    <row r="4092" spans="1:13" x14ac:dyDescent="0.25">
      <c r="A4092" t="str">
        <f>"00680024"</f>
        <v>00680024</v>
      </c>
      <c r="B4092" t="s">
        <v>3937</v>
      </c>
      <c r="C4092" t="s">
        <v>3938</v>
      </c>
      <c r="D4092" t="s">
        <v>37</v>
      </c>
      <c r="E4092" t="s">
        <v>26</v>
      </c>
      <c r="F4092" t="s">
        <v>17</v>
      </c>
      <c r="G4092" t="str">
        <f>"10"</f>
        <v>10</v>
      </c>
      <c r="H4092" t="str">
        <f>"0  "</f>
        <v xml:space="preserve">0  </v>
      </c>
      <c r="I4092" t="str">
        <f>"2020/09/17"</f>
        <v>2020/09/17</v>
      </c>
      <c r="J4092" t="str">
        <f>"420"</f>
        <v>420</v>
      </c>
      <c r="K4092" t="s">
        <v>18</v>
      </c>
      <c r="L4092" t="s">
        <v>18</v>
      </c>
      <c r="M4092" t="s">
        <v>18</v>
      </c>
    </row>
    <row r="4093" spans="1:13" x14ac:dyDescent="0.25">
      <c r="A4093" t="str">
        <f>"00557714"</f>
        <v>00557714</v>
      </c>
      <c r="B4093" t="s">
        <v>3940</v>
      </c>
      <c r="C4093" t="s">
        <v>3941</v>
      </c>
      <c r="D4093" t="s">
        <v>25</v>
      </c>
      <c r="E4093" t="s">
        <v>26</v>
      </c>
      <c r="F4093" t="s">
        <v>17</v>
      </c>
      <c r="G4093" t="str">
        <f>"10"</f>
        <v>10</v>
      </c>
      <c r="H4093" t="str">
        <f>"3  "</f>
        <v xml:space="preserve">3  </v>
      </c>
      <c r="I4093" t="str">
        <f>"2017/03/07"</f>
        <v>2017/03/07</v>
      </c>
      <c r="J4093" t="str">
        <f>"110"</f>
        <v>110</v>
      </c>
      <c r="K4093" t="str">
        <f>"20230112"</f>
        <v>20230112</v>
      </c>
      <c r="L4093" t="s">
        <v>18</v>
      </c>
      <c r="M4093" t="str">
        <f>"20170113"</f>
        <v>20170113</v>
      </c>
    </row>
    <row r="4094" spans="1:13" x14ac:dyDescent="0.25">
      <c r="A4094" t="str">
        <f>"00668167"</f>
        <v>00668167</v>
      </c>
      <c r="B4094" t="s">
        <v>3940</v>
      </c>
      <c r="C4094" t="s">
        <v>1638</v>
      </c>
      <c r="D4094" t="s">
        <v>31</v>
      </c>
      <c r="E4094" t="s">
        <v>26</v>
      </c>
      <c r="F4094" t="s">
        <v>17</v>
      </c>
      <c r="G4094" t="str">
        <f>"10"</f>
        <v>10</v>
      </c>
      <c r="H4094" t="str">
        <f>"0  "</f>
        <v xml:space="preserve">0  </v>
      </c>
      <c r="I4094" t="str">
        <f>"2019/07/31"</f>
        <v>2019/07/31</v>
      </c>
      <c r="J4094" t="str">
        <f>"420"</f>
        <v>420</v>
      </c>
      <c r="K4094" t="s">
        <v>18</v>
      </c>
      <c r="L4094" t="s">
        <v>18</v>
      </c>
      <c r="M4094" t="s">
        <v>18</v>
      </c>
    </row>
    <row r="4095" spans="1:13" x14ac:dyDescent="0.25">
      <c r="A4095" t="str">
        <f>"00373958"</f>
        <v>00373958</v>
      </c>
      <c r="B4095" t="s">
        <v>3940</v>
      </c>
      <c r="C4095" t="s">
        <v>1458</v>
      </c>
      <c r="D4095" t="s">
        <v>21</v>
      </c>
      <c r="E4095" t="s">
        <v>26</v>
      </c>
      <c r="F4095" t="s">
        <v>17</v>
      </c>
      <c r="G4095" t="str">
        <f>"10"</f>
        <v>10</v>
      </c>
      <c r="H4095" t="str">
        <f>"3  "</f>
        <v xml:space="preserve">3  </v>
      </c>
      <c r="I4095" t="str">
        <f>"2020/01/15"</f>
        <v>2020/01/15</v>
      </c>
      <c r="J4095" t="str">
        <f>"110"</f>
        <v>110</v>
      </c>
      <c r="K4095" t="str">
        <f>"20231104"</f>
        <v>20231104</v>
      </c>
      <c r="L4095" t="s">
        <v>18</v>
      </c>
      <c r="M4095" t="str">
        <f>"20190521"</f>
        <v>20190521</v>
      </c>
    </row>
    <row r="4096" spans="1:13" x14ac:dyDescent="0.25">
      <c r="A4096" t="str">
        <f>"00503280"</f>
        <v>00503280</v>
      </c>
      <c r="B4096" t="s">
        <v>3940</v>
      </c>
      <c r="C4096" t="s">
        <v>140</v>
      </c>
      <c r="D4096" t="s">
        <v>61</v>
      </c>
      <c r="E4096" t="s">
        <v>26</v>
      </c>
      <c r="F4096" t="s">
        <v>17</v>
      </c>
      <c r="G4096" t="str">
        <f>"10"</f>
        <v>10</v>
      </c>
      <c r="H4096" t="str">
        <f>"3  "</f>
        <v xml:space="preserve">3  </v>
      </c>
      <c r="I4096" t="str">
        <f>"2020/02/05"</f>
        <v>2020/02/05</v>
      </c>
      <c r="J4096" t="str">
        <f>"502"</f>
        <v>502</v>
      </c>
      <c r="K4096" t="str">
        <f>"20230620"</f>
        <v>20230620</v>
      </c>
      <c r="L4096" t="s">
        <v>18</v>
      </c>
      <c r="M4096" t="str">
        <f>"20130128"</f>
        <v>20130128</v>
      </c>
    </row>
    <row r="4097" spans="1:13" x14ac:dyDescent="0.25">
      <c r="A4097" t="str">
        <f>"00527403"</f>
        <v>00527403</v>
      </c>
      <c r="B4097" t="s">
        <v>3940</v>
      </c>
      <c r="C4097" t="s">
        <v>302</v>
      </c>
      <c r="D4097" t="s">
        <v>25</v>
      </c>
      <c r="E4097" t="s">
        <v>26</v>
      </c>
      <c r="F4097" t="s">
        <v>17</v>
      </c>
      <c r="G4097" t="str">
        <f>"10"</f>
        <v>10</v>
      </c>
      <c r="H4097" t="str">
        <f>"3  "</f>
        <v xml:space="preserve">3  </v>
      </c>
      <c r="I4097" t="str">
        <f>"2018/01/08"</f>
        <v>2018/01/08</v>
      </c>
      <c r="J4097" t="str">
        <f>"110"</f>
        <v>110</v>
      </c>
      <c r="K4097" t="str">
        <f>"20210717"</f>
        <v>20210717</v>
      </c>
      <c r="L4097" t="s">
        <v>18</v>
      </c>
      <c r="M4097" t="str">
        <f>"20170603"</f>
        <v>20170603</v>
      </c>
    </row>
    <row r="4098" spans="1:13" x14ac:dyDescent="0.25">
      <c r="A4098" t="str">
        <f>"00862362"</f>
        <v>00862362</v>
      </c>
      <c r="B4098" t="s">
        <v>3940</v>
      </c>
      <c r="C4098" t="s">
        <v>369</v>
      </c>
      <c r="D4098" t="s">
        <v>80</v>
      </c>
      <c r="E4098" t="s">
        <v>26</v>
      </c>
      <c r="F4098" t="s">
        <v>17</v>
      </c>
      <c r="G4098" t="str">
        <f>"10"</f>
        <v>10</v>
      </c>
      <c r="H4098" t="str">
        <f>"3  "</f>
        <v xml:space="preserve">3  </v>
      </c>
      <c r="I4098" t="str">
        <f>"2019/04/23"</f>
        <v>2019/04/23</v>
      </c>
      <c r="J4098" t="str">
        <f>"110"</f>
        <v>110</v>
      </c>
      <c r="K4098" t="str">
        <f>"20210614"</f>
        <v>20210614</v>
      </c>
      <c r="L4098" t="s">
        <v>18</v>
      </c>
      <c r="M4098" t="str">
        <f>"20190423"</f>
        <v>20190423</v>
      </c>
    </row>
    <row r="4099" spans="1:13" x14ac:dyDescent="0.25">
      <c r="A4099" t="str">
        <f>"00441264"</f>
        <v>00441264</v>
      </c>
      <c r="B4099" t="s">
        <v>3940</v>
      </c>
      <c r="C4099" t="s">
        <v>3226</v>
      </c>
      <c r="D4099" t="s">
        <v>26</v>
      </c>
      <c r="E4099" t="s">
        <v>26</v>
      </c>
      <c r="F4099" t="s">
        <v>17</v>
      </c>
      <c r="G4099" t="str">
        <f>"10"</f>
        <v>10</v>
      </c>
      <c r="H4099" t="str">
        <f>"0  "</f>
        <v xml:space="preserve">0  </v>
      </c>
      <c r="I4099" t="str">
        <f>"2020/02/17"</f>
        <v>2020/02/17</v>
      </c>
      <c r="J4099" t="str">
        <f>"420"</f>
        <v>420</v>
      </c>
      <c r="K4099" t="s">
        <v>18</v>
      </c>
      <c r="L4099" t="s">
        <v>18</v>
      </c>
      <c r="M4099" t="s">
        <v>18</v>
      </c>
    </row>
    <row r="4100" spans="1:13" x14ac:dyDescent="0.25">
      <c r="A4100" t="str">
        <f>"00831516"</f>
        <v>00831516</v>
      </c>
      <c r="B4100" t="s">
        <v>3940</v>
      </c>
      <c r="C4100" t="s">
        <v>2109</v>
      </c>
      <c r="D4100" t="s">
        <v>15</v>
      </c>
      <c r="E4100" t="s">
        <v>26</v>
      </c>
      <c r="F4100" t="s">
        <v>17</v>
      </c>
      <c r="G4100" t="str">
        <f>"10"</f>
        <v>10</v>
      </c>
      <c r="H4100" t="str">
        <f>"0  "</f>
        <v xml:space="preserve">0  </v>
      </c>
      <c r="I4100" t="str">
        <f>"2020/05/21"</f>
        <v>2020/05/21</v>
      </c>
      <c r="J4100" t="str">
        <f>"420"</f>
        <v>420</v>
      </c>
      <c r="K4100" t="s">
        <v>18</v>
      </c>
      <c r="L4100" t="s">
        <v>18</v>
      </c>
      <c r="M4100" t="s">
        <v>18</v>
      </c>
    </row>
    <row r="4101" spans="1:13" x14ac:dyDescent="0.25">
      <c r="A4101" t="str">
        <f>"00485408"</f>
        <v>00485408</v>
      </c>
      <c r="B4101" t="s">
        <v>3940</v>
      </c>
      <c r="C4101" t="s">
        <v>532</v>
      </c>
      <c r="D4101" t="s">
        <v>25</v>
      </c>
      <c r="E4101" t="s">
        <v>26</v>
      </c>
      <c r="F4101" t="s">
        <v>17</v>
      </c>
      <c r="G4101" t="str">
        <f>"10"</f>
        <v>10</v>
      </c>
      <c r="H4101" t="str">
        <f>"3  "</f>
        <v xml:space="preserve">3  </v>
      </c>
      <c r="I4101" t="str">
        <f>"2017/08/07"</f>
        <v>2017/08/07</v>
      </c>
      <c r="J4101" t="str">
        <f>"110"</f>
        <v>110</v>
      </c>
      <c r="K4101" t="str">
        <f>"20210302"</f>
        <v>20210302</v>
      </c>
      <c r="L4101" t="s">
        <v>18</v>
      </c>
      <c r="M4101" t="str">
        <f>"20161218"</f>
        <v>20161218</v>
      </c>
    </row>
    <row r="4102" spans="1:13" x14ac:dyDescent="0.25">
      <c r="A4102" t="str">
        <f>"00267646"</f>
        <v>00267646</v>
      </c>
      <c r="B4102" t="s">
        <v>3940</v>
      </c>
      <c r="C4102" t="s">
        <v>687</v>
      </c>
      <c r="D4102" t="s">
        <v>21</v>
      </c>
      <c r="E4102" t="s">
        <v>26</v>
      </c>
      <c r="F4102" t="s">
        <v>17</v>
      </c>
      <c r="G4102" t="str">
        <f>"10"</f>
        <v>10</v>
      </c>
      <c r="H4102" t="str">
        <f>"3  "</f>
        <v xml:space="preserve">3  </v>
      </c>
      <c r="I4102" t="str">
        <f>"2019/05/22"</f>
        <v>2019/05/22</v>
      </c>
      <c r="J4102" t="str">
        <f>"120"</f>
        <v>120</v>
      </c>
      <c r="K4102" t="str">
        <f>"20220814"</f>
        <v>20220814</v>
      </c>
      <c r="L4102" t="s">
        <v>18</v>
      </c>
      <c r="M4102" t="str">
        <f>"20180405"</f>
        <v>20180405</v>
      </c>
    </row>
    <row r="4103" spans="1:13" x14ac:dyDescent="0.25">
      <c r="A4103" t="str">
        <f>"00470161"</f>
        <v>00470161</v>
      </c>
      <c r="B4103" t="s">
        <v>3940</v>
      </c>
      <c r="C4103" t="s">
        <v>3945</v>
      </c>
      <c r="D4103" t="s">
        <v>40</v>
      </c>
      <c r="E4103" t="s">
        <v>26</v>
      </c>
      <c r="F4103" t="s">
        <v>17</v>
      </c>
      <c r="G4103" t="str">
        <f>"10"</f>
        <v>10</v>
      </c>
      <c r="H4103" t="str">
        <f>"3  "</f>
        <v xml:space="preserve">3  </v>
      </c>
      <c r="I4103" t="str">
        <f>"2019/07/29"</f>
        <v>2019/07/29</v>
      </c>
      <c r="J4103" t="str">
        <f>"110"</f>
        <v>110</v>
      </c>
      <c r="K4103" t="str">
        <f>"20231224"</f>
        <v>20231224</v>
      </c>
      <c r="L4103" t="s">
        <v>18</v>
      </c>
      <c r="M4103" t="str">
        <f>"20181221"</f>
        <v>20181221</v>
      </c>
    </row>
    <row r="4104" spans="1:13" x14ac:dyDescent="0.25">
      <c r="A4104" t="str">
        <f>"00430922"</f>
        <v>00430922</v>
      </c>
      <c r="B4104" t="s">
        <v>3940</v>
      </c>
      <c r="C4104" t="s">
        <v>74</v>
      </c>
      <c r="D4104" t="s">
        <v>45</v>
      </c>
      <c r="E4104" t="s">
        <v>26</v>
      </c>
      <c r="F4104" t="s">
        <v>17</v>
      </c>
      <c r="G4104" t="str">
        <f>"10"</f>
        <v>10</v>
      </c>
      <c r="H4104" t="str">
        <f>"3  "</f>
        <v xml:space="preserve">3  </v>
      </c>
      <c r="I4104" t="str">
        <f>"2019/10/17"</f>
        <v>2019/10/17</v>
      </c>
      <c r="J4104" t="str">
        <f>"531"</f>
        <v>531</v>
      </c>
      <c r="K4104" t="str">
        <f>"20220922"</f>
        <v>20220922</v>
      </c>
      <c r="L4104" t="s">
        <v>18</v>
      </c>
      <c r="M4104" t="str">
        <f>"20170923"</f>
        <v>20170923</v>
      </c>
    </row>
    <row r="4105" spans="1:13" x14ac:dyDescent="0.25">
      <c r="A4105" t="str">
        <f>"00740775"</f>
        <v>00740775</v>
      </c>
      <c r="B4105" t="s">
        <v>3940</v>
      </c>
      <c r="C4105" t="s">
        <v>3952</v>
      </c>
      <c r="D4105" t="s">
        <v>61</v>
      </c>
      <c r="E4105" t="s">
        <v>26</v>
      </c>
      <c r="F4105" t="s">
        <v>17</v>
      </c>
      <c r="G4105" t="str">
        <f>"10"</f>
        <v>10</v>
      </c>
      <c r="H4105" t="str">
        <f>"1  "</f>
        <v xml:space="preserve">1  </v>
      </c>
      <c r="I4105" t="str">
        <f>"2020/08/04"</f>
        <v>2020/08/04</v>
      </c>
      <c r="J4105" t="str">
        <f>"512"</f>
        <v>512</v>
      </c>
      <c r="K4105" t="str">
        <f>"20201004"</f>
        <v>20201004</v>
      </c>
      <c r="L4105" t="s">
        <v>18</v>
      </c>
      <c r="M4105" t="str">
        <f>"20200713"</f>
        <v>20200713</v>
      </c>
    </row>
    <row r="4106" spans="1:13" x14ac:dyDescent="0.25">
      <c r="A4106" t="str">
        <f>"00470169"</f>
        <v>00470169</v>
      </c>
      <c r="B4106" t="s">
        <v>3940</v>
      </c>
      <c r="C4106" t="s">
        <v>150</v>
      </c>
      <c r="D4106" t="s">
        <v>80</v>
      </c>
      <c r="E4106" t="s">
        <v>26</v>
      </c>
      <c r="F4106" t="s">
        <v>17</v>
      </c>
      <c r="G4106" t="str">
        <f>"10"</f>
        <v>10</v>
      </c>
      <c r="H4106" t="str">
        <f>"3  "</f>
        <v xml:space="preserve">3  </v>
      </c>
      <c r="I4106" t="str">
        <f>"2020/08/28"</f>
        <v>2020/08/28</v>
      </c>
      <c r="J4106" t="str">
        <f>"110"</f>
        <v>110</v>
      </c>
      <c r="K4106" t="str">
        <f>"20240402"</f>
        <v>20240402</v>
      </c>
      <c r="L4106" t="s">
        <v>18</v>
      </c>
      <c r="M4106" t="str">
        <f>"20190918"</f>
        <v>20190918</v>
      </c>
    </row>
    <row r="4107" spans="1:13" x14ac:dyDescent="0.25">
      <c r="A4107" t="str">
        <f>"00379632"</f>
        <v>00379632</v>
      </c>
      <c r="B4107" t="s">
        <v>3940</v>
      </c>
      <c r="C4107" t="s">
        <v>358</v>
      </c>
      <c r="D4107" t="s">
        <v>37</v>
      </c>
      <c r="E4107" t="s">
        <v>26</v>
      </c>
      <c r="F4107" t="s">
        <v>17</v>
      </c>
      <c r="G4107" t="str">
        <f>"10"</f>
        <v>10</v>
      </c>
      <c r="H4107" t="str">
        <f>"0  "</f>
        <v xml:space="preserve">0  </v>
      </c>
      <c r="I4107" t="str">
        <f>"2019/09/28"</f>
        <v>2019/09/28</v>
      </c>
      <c r="J4107" t="str">
        <f>"420"</f>
        <v>420</v>
      </c>
      <c r="K4107" t="s">
        <v>18</v>
      </c>
      <c r="L4107" t="s">
        <v>18</v>
      </c>
      <c r="M4107" t="s">
        <v>18</v>
      </c>
    </row>
    <row r="4108" spans="1:13" x14ac:dyDescent="0.25">
      <c r="A4108" t="str">
        <f>"00323518"</f>
        <v>00323518</v>
      </c>
      <c r="B4108" t="s">
        <v>3940</v>
      </c>
      <c r="C4108" t="s">
        <v>169</v>
      </c>
      <c r="D4108" t="s">
        <v>15</v>
      </c>
      <c r="E4108" t="s">
        <v>16</v>
      </c>
      <c r="F4108" t="s">
        <v>17</v>
      </c>
      <c r="G4108" t="str">
        <f>"10"</f>
        <v>10</v>
      </c>
      <c r="H4108" t="str">
        <f>"1  "</f>
        <v xml:space="preserve">1  </v>
      </c>
      <c r="I4108" t="str">
        <f>"2020/08/21"</f>
        <v>2020/08/21</v>
      </c>
      <c r="J4108" t="str">
        <f>"120"</f>
        <v>120</v>
      </c>
      <c r="K4108" t="str">
        <f>"20201116"</f>
        <v>20201116</v>
      </c>
      <c r="L4108" t="s">
        <v>18</v>
      </c>
      <c r="M4108" t="str">
        <f>"20200728"</f>
        <v>20200728</v>
      </c>
    </row>
    <row r="4109" spans="1:13" x14ac:dyDescent="0.25">
      <c r="A4109" t="str">
        <f>"00192678"</f>
        <v>00192678</v>
      </c>
      <c r="B4109" t="s">
        <v>3963</v>
      </c>
      <c r="C4109" t="s">
        <v>1895</v>
      </c>
      <c r="D4109" t="s">
        <v>21</v>
      </c>
      <c r="E4109" t="s">
        <v>16</v>
      </c>
      <c r="F4109" t="s">
        <v>17</v>
      </c>
      <c r="G4109" t="str">
        <f>"10"</f>
        <v>10</v>
      </c>
      <c r="H4109" t="str">
        <f>"3  "</f>
        <v xml:space="preserve">3  </v>
      </c>
      <c r="I4109" t="str">
        <f>"2020/03/10"</f>
        <v>2020/03/10</v>
      </c>
      <c r="J4109" t="str">
        <f>"110"</f>
        <v>110</v>
      </c>
      <c r="K4109" t="str">
        <f>"20220703"</f>
        <v>20220703</v>
      </c>
      <c r="L4109" t="s">
        <v>18</v>
      </c>
      <c r="M4109" t="str">
        <f>"20191009"</f>
        <v>20191009</v>
      </c>
    </row>
    <row r="4110" spans="1:13" x14ac:dyDescent="0.25">
      <c r="A4110" t="str">
        <f>"00714425"</f>
        <v>00714425</v>
      </c>
      <c r="B4110" t="s">
        <v>3965</v>
      </c>
      <c r="C4110" t="s">
        <v>3967</v>
      </c>
      <c r="D4110" t="s">
        <v>215</v>
      </c>
      <c r="E4110" t="s">
        <v>26</v>
      </c>
      <c r="F4110" t="s">
        <v>17</v>
      </c>
      <c r="G4110" t="str">
        <f>"10"</f>
        <v>10</v>
      </c>
      <c r="H4110" t="str">
        <f>"3  "</f>
        <v xml:space="preserve">3  </v>
      </c>
      <c r="I4110" t="str">
        <f>"2019/03/10"</f>
        <v>2019/03/10</v>
      </c>
      <c r="J4110" t="str">
        <f>"110"</f>
        <v>110</v>
      </c>
      <c r="K4110" t="str">
        <f>"20201211"</f>
        <v>20201211</v>
      </c>
      <c r="L4110" t="s">
        <v>18</v>
      </c>
      <c r="M4110" t="str">
        <f>"20180406"</f>
        <v>20180406</v>
      </c>
    </row>
    <row r="4111" spans="1:13" x14ac:dyDescent="0.25">
      <c r="A4111" t="str">
        <f>"00393191"</f>
        <v>00393191</v>
      </c>
      <c r="B4111" t="s">
        <v>3970</v>
      </c>
      <c r="C4111" t="s">
        <v>3971</v>
      </c>
      <c r="D4111" t="s">
        <v>53</v>
      </c>
      <c r="E4111" t="s">
        <v>26</v>
      </c>
      <c r="F4111" t="s">
        <v>17</v>
      </c>
      <c r="G4111" t="str">
        <f>"10"</f>
        <v>10</v>
      </c>
      <c r="H4111" t="str">
        <f>"0  "</f>
        <v xml:space="preserve">0  </v>
      </c>
      <c r="I4111" t="str">
        <f>"2020/01/11"</f>
        <v>2020/01/11</v>
      </c>
      <c r="J4111" t="str">
        <f>"420"</f>
        <v>420</v>
      </c>
      <c r="K4111" t="s">
        <v>18</v>
      </c>
      <c r="L4111" t="s">
        <v>18</v>
      </c>
      <c r="M4111" t="s">
        <v>18</v>
      </c>
    </row>
    <row r="4112" spans="1:13" x14ac:dyDescent="0.25">
      <c r="A4112" t="str">
        <f>"00611720"</f>
        <v>00611720</v>
      </c>
      <c r="B4112" t="s">
        <v>3972</v>
      </c>
      <c r="C4112" t="s">
        <v>14</v>
      </c>
      <c r="D4112" t="s">
        <v>31</v>
      </c>
      <c r="E4112" t="s">
        <v>26</v>
      </c>
      <c r="F4112" t="s">
        <v>17</v>
      </c>
      <c r="G4112" t="str">
        <f>"10"</f>
        <v>10</v>
      </c>
      <c r="H4112" t="str">
        <f>"0  "</f>
        <v xml:space="preserve">0  </v>
      </c>
      <c r="I4112" t="str">
        <f>"2020/07/16"</f>
        <v>2020/07/16</v>
      </c>
      <c r="J4112" t="str">
        <f>"420"</f>
        <v>420</v>
      </c>
      <c r="K4112" t="s">
        <v>18</v>
      </c>
      <c r="L4112" t="s">
        <v>18</v>
      </c>
      <c r="M4112" t="s">
        <v>18</v>
      </c>
    </row>
    <row r="4113" spans="1:13" x14ac:dyDescent="0.25">
      <c r="A4113" t="str">
        <f>"00131486"</f>
        <v>00131486</v>
      </c>
      <c r="B4113" t="s">
        <v>3972</v>
      </c>
      <c r="C4113" t="s">
        <v>3973</v>
      </c>
      <c r="D4113" t="s">
        <v>47</v>
      </c>
      <c r="E4113" t="s">
        <v>26</v>
      </c>
      <c r="F4113" t="s">
        <v>17</v>
      </c>
      <c r="G4113" t="str">
        <f>"10"</f>
        <v>10</v>
      </c>
      <c r="H4113" t="str">
        <f>"0  "</f>
        <v xml:space="preserve">0  </v>
      </c>
      <c r="I4113" t="str">
        <f>"2020/09/16"</f>
        <v>2020/09/16</v>
      </c>
      <c r="J4113" t="str">
        <f>"420"</f>
        <v>420</v>
      </c>
      <c r="K4113" t="s">
        <v>18</v>
      </c>
      <c r="L4113" t="s">
        <v>18</v>
      </c>
      <c r="M4113" t="s">
        <v>18</v>
      </c>
    </row>
    <row r="4114" spans="1:13" x14ac:dyDescent="0.25">
      <c r="A4114" t="str">
        <f>"00747896"</f>
        <v>00747896</v>
      </c>
      <c r="B4114" t="s">
        <v>3972</v>
      </c>
      <c r="C4114" t="s">
        <v>3977</v>
      </c>
      <c r="D4114" t="s">
        <v>91</v>
      </c>
      <c r="E4114" t="s">
        <v>26</v>
      </c>
      <c r="F4114" t="s">
        <v>17</v>
      </c>
      <c r="G4114" t="str">
        <f>"10"</f>
        <v>10</v>
      </c>
      <c r="H4114" t="str">
        <f>"0  "</f>
        <v xml:space="preserve">0  </v>
      </c>
      <c r="I4114" t="str">
        <f>"2019/11/04"</f>
        <v>2019/11/04</v>
      </c>
      <c r="J4114" t="str">
        <f>"420"</f>
        <v>420</v>
      </c>
      <c r="K4114" t="s">
        <v>18</v>
      </c>
      <c r="L4114" t="s">
        <v>18</v>
      </c>
      <c r="M4114" t="s">
        <v>18</v>
      </c>
    </row>
    <row r="4115" spans="1:13" x14ac:dyDescent="0.25">
      <c r="A4115" t="str">
        <f>"00451323"</f>
        <v>00451323</v>
      </c>
      <c r="B4115" t="s">
        <v>3972</v>
      </c>
      <c r="C4115" t="s">
        <v>1928</v>
      </c>
      <c r="D4115" t="s">
        <v>47</v>
      </c>
      <c r="E4115" t="s">
        <v>26</v>
      </c>
      <c r="F4115" t="s">
        <v>17</v>
      </c>
      <c r="G4115" t="str">
        <f>"10"</f>
        <v>10</v>
      </c>
      <c r="H4115" t="str">
        <f>"0  "</f>
        <v xml:space="preserve">0  </v>
      </c>
      <c r="I4115" t="str">
        <f>"2020/09/18"</f>
        <v>2020/09/18</v>
      </c>
      <c r="J4115" t="str">
        <f>"420"</f>
        <v>420</v>
      </c>
      <c r="K4115" t="s">
        <v>18</v>
      </c>
      <c r="L4115" t="s">
        <v>18</v>
      </c>
      <c r="M4115" t="s">
        <v>18</v>
      </c>
    </row>
    <row r="4116" spans="1:13" x14ac:dyDescent="0.25">
      <c r="A4116" t="str">
        <f>"00644913"</f>
        <v>00644913</v>
      </c>
      <c r="B4116" t="s">
        <v>3972</v>
      </c>
      <c r="C4116" t="s">
        <v>547</v>
      </c>
      <c r="D4116" t="s">
        <v>47</v>
      </c>
      <c r="E4116" t="s">
        <v>26</v>
      </c>
      <c r="F4116" t="s">
        <v>17</v>
      </c>
      <c r="G4116" t="str">
        <f>"10"</f>
        <v>10</v>
      </c>
      <c r="H4116" t="str">
        <f>"1  "</f>
        <v xml:space="preserve">1  </v>
      </c>
      <c r="I4116" t="str">
        <f>"2020/06/02"</f>
        <v>2020/06/02</v>
      </c>
      <c r="J4116" t="str">
        <f>"120"</f>
        <v>120</v>
      </c>
      <c r="K4116" t="str">
        <f>"20201104"</f>
        <v>20201104</v>
      </c>
      <c r="L4116" t="s">
        <v>18</v>
      </c>
      <c r="M4116" t="str">
        <f>"20200517"</f>
        <v>20200517</v>
      </c>
    </row>
    <row r="4117" spans="1:13" x14ac:dyDescent="0.25">
      <c r="A4117" t="str">
        <f>"00250472"</f>
        <v>00250472</v>
      </c>
      <c r="B4117" t="s">
        <v>3972</v>
      </c>
      <c r="C4117" t="s">
        <v>3980</v>
      </c>
      <c r="D4117" t="s">
        <v>25</v>
      </c>
      <c r="E4117" t="s">
        <v>26</v>
      </c>
      <c r="F4117" t="s">
        <v>17</v>
      </c>
      <c r="G4117" t="str">
        <f>"10"</f>
        <v>10</v>
      </c>
      <c r="H4117" t="str">
        <f>"3  "</f>
        <v xml:space="preserve">3  </v>
      </c>
      <c r="I4117" t="str">
        <f>"2017/11/17"</f>
        <v>2017/11/17</v>
      </c>
      <c r="J4117" t="str">
        <f>"110"</f>
        <v>110</v>
      </c>
      <c r="K4117" t="str">
        <f>"20230912"</f>
        <v>20230912</v>
      </c>
      <c r="L4117" t="s">
        <v>18</v>
      </c>
      <c r="M4117" t="str">
        <f>"20161021"</f>
        <v>20161021</v>
      </c>
    </row>
    <row r="4118" spans="1:13" x14ac:dyDescent="0.25">
      <c r="A4118" t="str">
        <f>"00459415"</f>
        <v>00459415</v>
      </c>
      <c r="B4118" t="s">
        <v>3983</v>
      </c>
      <c r="C4118" t="s">
        <v>3984</v>
      </c>
      <c r="D4118" t="s">
        <v>21</v>
      </c>
      <c r="E4118" t="s">
        <v>26</v>
      </c>
      <c r="F4118" t="s">
        <v>17</v>
      </c>
      <c r="G4118" t="str">
        <f>"10"</f>
        <v>10</v>
      </c>
      <c r="H4118" t="str">
        <f>"3  "</f>
        <v xml:space="preserve">3  </v>
      </c>
      <c r="I4118" t="str">
        <f>"2018/06/06"</f>
        <v>2018/06/06</v>
      </c>
      <c r="J4118" t="str">
        <f>"110"</f>
        <v>110</v>
      </c>
      <c r="K4118" t="str">
        <f>"20211222"</f>
        <v>20211222</v>
      </c>
      <c r="L4118" t="s">
        <v>18</v>
      </c>
      <c r="M4118" t="str">
        <f>"20170822"</f>
        <v>20170822</v>
      </c>
    </row>
    <row r="4119" spans="1:13" x14ac:dyDescent="0.25">
      <c r="A4119" t="str">
        <f>"00472948"</f>
        <v>00472948</v>
      </c>
      <c r="B4119" t="s">
        <v>3983</v>
      </c>
      <c r="C4119" t="s">
        <v>2134</v>
      </c>
      <c r="D4119" t="s">
        <v>21</v>
      </c>
      <c r="E4119" t="s">
        <v>26</v>
      </c>
      <c r="F4119" t="s">
        <v>17</v>
      </c>
      <c r="G4119" t="str">
        <f>"10"</f>
        <v>10</v>
      </c>
      <c r="H4119" t="str">
        <f>"0  "</f>
        <v xml:space="preserve">0  </v>
      </c>
      <c r="I4119" t="str">
        <f>"2020/09/08"</f>
        <v>2020/09/08</v>
      </c>
      <c r="J4119" t="str">
        <f>"420"</f>
        <v>420</v>
      </c>
      <c r="K4119" t="s">
        <v>18</v>
      </c>
      <c r="L4119" t="s">
        <v>18</v>
      </c>
      <c r="M4119" t="s">
        <v>18</v>
      </c>
    </row>
    <row r="4120" spans="1:13" x14ac:dyDescent="0.25">
      <c r="A4120" t="str">
        <f>"00815067"</f>
        <v>00815067</v>
      </c>
      <c r="B4120" t="s">
        <v>3986</v>
      </c>
      <c r="C4120" t="s">
        <v>1208</v>
      </c>
      <c r="D4120" t="s">
        <v>40</v>
      </c>
      <c r="E4120" t="s">
        <v>16</v>
      </c>
      <c r="F4120" t="s">
        <v>17</v>
      </c>
      <c r="G4120" t="str">
        <f>"10"</f>
        <v>10</v>
      </c>
      <c r="H4120" t="str">
        <f>"0  "</f>
        <v xml:space="preserve">0  </v>
      </c>
      <c r="I4120" t="str">
        <f>"2020/03/27"</f>
        <v>2020/03/27</v>
      </c>
      <c r="J4120" t="str">
        <f>"420"</f>
        <v>420</v>
      </c>
      <c r="K4120" t="s">
        <v>18</v>
      </c>
      <c r="L4120" t="s">
        <v>18</v>
      </c>
      <c r="M4120" t="s">
        <v>18</v>
      </c>
    </row>
    <row r="4121" spans="1:13" x14ac:dyDescent="0.25">
      <c r="A4121" t="str">
        <f>"00385347"</f>
        <v>00385347</v>
      </c>
      <c r="B4121" t="s">
        <v>3992</v>
      </c>
      <c r="C4121" t="s">
        <v>59</v>
      </c>
      <c r="D4121" t="s">
        <v>61</v>
      </c>
      <c r="E4121" t="s">
        <v>16</v>
      </c>
      <c r="F4121" t="s">
        <v>17</v>
      </c>
      <c r="G4121" t="str">
        <f>"10"</f>
        <v>10</v>
      </c>
      <c r="H4121" t="str">
        <f>"3  "</f>
        <v xml:space="preserve">3  </v>
      </c>
      <c r="I4121" t="str">
        <f>"2019/06/10"</f>
        <v>2019/06/10</v>
      </c>
      <c r="J4121" t="str">
        <f>"110"</f>
        <v>110</v>
      </c>
      <c r="K4121" t="str">
        <f>"20220327"</f>
        <v>20220327</v>
      </c>
      <c r="L4121" t="s">
        <v>18</v>
      </c>
      <c r="M4121" t="str">
        <f>"20181007"</f>
        <v>20181007</v>
      </c>
    </row>
    <row r="4122" spans="1:13" x14ac:dyDescent="0.25">
      <c r="A4122" t="str">
        <f>"00816341"</f>
        <v>00816341</v>
      </c>
      <c r="B4122" t="s">
        <v>3997</v>
      </c>
      <c r="C4122" t="s">
        <v>648</v>
      </c>
      <c r="D4122" t="s">
        <v>25</v>
      </c>
      <c r="E4122" t="s">
        <v>26</v>
      </c>
      <c r="F4122" t="s">
        <v>17</v>
      </c>
      <c r="G4122" t="str">
        <f>"10"</f>
        <v>10</v>
      </c>
      <c r="H4122" t="str">
        <f>"0  "</f>
        <v xml:space="preserve">0  </v>
      </c>
      <c r="I4122" t="str">
        <f>"2020/06/26"</f>
        <v>2020/06/26</v>
      </c>
      <c r="J4122" t="str">
        <f>"420"</f>
        <v>420</v>
      </c>
      <c r="K4122" t="s">
        <v>18</v>
      </c>
      <c r="L4122" t="s">
        <v>18</v>
      </c>
      <c r="M4122" t="s">
        <v>18</v>
      </c>
    </row>
    <row r="4123" spans="1:13" x14ac:dyDescent="0.25">
      <c r="A4123" t="str">
        <f>"00121588"</f>
        <v>00121588</v>
      </c>
      <c r="B4123" t="s">
        <v>3998</v>
      </c>
      <c r="C4123" t="s">
        <v>44</v>
      </c>
      <c r="D4123" t="s">
        <v>61</v>
      </c>
      <c r="E4123" t="s">
        <v>16</v>
      </c>
      <c r="F4123" t="s">
        <v>17</v>
      </c>
      <c r="G4123" t="str">
        <f>"10"</f>
        <v>10</v>
      </c>
      <c r="H4123" t="str">
        <f>"0  "</f>
        <v xml:space="preserve">0  </v>
      </c>
      <c r="I4123" t="str">
        <f>"2020/08/07"</f>
        <v>2020/08/07</v>
      </c>
      <c r="J4123" t="str">
        <f>"512"</f>
        <v>512</v>
      </c>
      <c r="K4123" t="s">
        <v>18</v>
      </c>
      <c r="L4123" t="s">
        <v>18</v>
      </c>
      <c r="M4123" t="s">
        <v>18</v>
      </c>
    </row>
    <row r="4124" spans="1:13" x14ac:dyDescent="0.25">
      <c r="A4124" t="str">
        <f>"00543556"</f>
        <v>00543556</v>
      </c>
      <c r="B4124" t="s">
        <v>3999</v>
      </c>
      <c r="C4124" t="s">
        <v>4000</v>
      </c>
      <c r="D4124" t="s">
        <v>15</v>
      </c>
      <c r="E4124" t="s">
        <v>26</v>
      </c>
      <c r="F4124" t="s">
        <v>17</v>
      </c>
      <c r="G4124" t="str">
        <f>"10"</f>
        <v>10</v>
      </c>
      <c r="H4124" t="str">
        <f>"0  "</f>
        <v xml:space="preserve">0  </v>
      </c>
      <c r="I4124" t="str">
        <f>"2020/04/01"</f>
        <v>2020/04/01</v>
      </c>
      <c r="J4124" t="str">
        <f>"420"</f>
        <v>420</v>
      </c>
      <c r="K4124" t="s">
        <v>18</v>
      </c>
      <c r="L4124" t="s">
        <v>18</v>
      </c>
      <c r="M4124" t="s">
        <v>18</v>
      </c>
    </row>
    <row r="4125" spans="1:13" x14ac:dyDescent="0.25">
      <c r="A4125" t="str">
        <f>"00873714"</f>
        <v>00873714</v>
      </c>
      <c r="B4125" t="s">
        <v>4001</v>
      </c>
      <c r="C4125" t="s">
        <v>437</v>
      </c>
      <c r="D4125" t="s">
        <v>53</v>
      </c>
      <c r="E4125" t="s">
        <v>26</v>
      </c>
      <c r="F4125" t="s">
        <v>17</v>
      </c>
      <c r="G4125" t="str">
        <f>"10"</f>
        <v>10</v>
      </c>
      <c r="H4125" t="str">
        <f>"3  "</f>
        <v xml:space="preserve">3  </v>
      </c>
      <c r="I4125" t="str">
        <f>"2019/11/01"</f>
        <v>2019/11/01</v>
      </c>
      <c r="J4125" t="str">
        <f>"110"</f>
        <v>110</v>
      </c>
      <c r="K4125" t="str">
        <f>"20220719"</f>
        <v>20220719</v>
      </c>
      <c r="L4125" t="s">
        <v>18</v>
      </c>
      <c r="M4125" t="str">
        <f>"20181130"</f>
        <v>20181130</v>
      </c>
    </row>
    <row r="4126" spans="1:13" x14ac:dyDescent="0.25">
      <c r="A4126" t="str">
        <f>"00681607"</f>
        <v>00681607</v>
      </c>
      <c r="B4126" t="s">
        <v>4006</v>
      </c>
      <c r="C4126" t="s">
        <v>398</v>
      </c>
      <c r="D4126" t="s">
        <v>45</v>
      </c>
      <c r="E4126" t="s">
        <v>26</v>
      </c>
      <c r="F4126" t="s">
        <v>17</v>
      </c>
      <c r="G4126" t="str">
        <f>"10"</f>
        <v>10</v>
      </c>
      <c r="H4126" t="str">
        <f>"0  "</f>
        <v xml:space="preserve">0  </v>
      </c>
      <c r="I4126" t="str">
        <f>"2020/08/07"</f>
        <v>2020/08/07</v>
      </c>
      <c r="J4126" t="str">
        <f>"512"</f>
        <v>512</v>
      </c>
      <c r="K4126" t="s">
        <v>18</v>
      </c>
      <c r="L4126" t="s">
        <v>18</v>
      </c>
      <c r="M4126" t="s">
        <v>18</v>
      </c>
    </row>
    <row r="4127" spans="1:13" x14ac:dyDescent="0.25">
      <c r="A4127" t="str">
        <f>"00411504"</f>
        <v>00411504</v>
      </c>
      <c r="B4127" t="s">
        <v>4007</v>
      </c>
      <c r="C4127" t="s">
        <v>384</v>
      </c>
      <c r="D4127" t="s">
        <v>40</v>
      </c>
      <c r="E4127" t="s">
        <v>16</v>
      </c>
      <c r="F4127" t="s">
        <v>17</v>
      </c>
      <c r="G4127" t="str">
        <f>"10"</f>
        <v>10</v>
      </c>
      <c r="H4127" t="str">
        <f>"0  "</f>
        <v xml:space="preserve">0  </v>
      </c>
      <c r="I4127" t="str">
        <f>"2020/08/30"</f>
        <v>2020/08/30</v>
      </c>
      <c r="J4127" t="str">
        <f>"420"</f>
        <v>420</v>
      </c>
      <c r="K4127" t="s">
        <v>18</v>
      </c>
      <c r="L4127" t="s">
        <v>18</v>
      </c>
      <c r="M4127" t="s">
        <v>18</v>
      </c>
    </row>
    <row r="4128" spans="1:13" x14ac:dyDescent="0.25">
      <c r="A4128" t="str">
        <f>"00521724"</f>
        <v>00521724</v>
      </c>
      <c r="B4128" t="s">
        <v>4008</v>
      </c>
      <c r="C4128" t="s">
        <v>135</v>
      </c>
      <c r="D4128" t="s">
        <v>40</v>
      </c>
      <c r="E4128" t="s">
        <v>16</v>
      </c>
      <c r="F4128" t="s">
        <v>17</v>
      </c>
      <c r="G4128" t="str">
        <f>"10"</f>
        <v>10</v>
      </c>
      <c r="H4128" t="str">
        <f>"0  "</f>
        <v xml:space="preserve">0  </v>
      </c>
      <c r="I4128" t="str">
        <f>"2020/03/25"</f>
        <v>2020/03/25</v>
      </c>
      <c r="J4128" t="str">
        <f>"420"</f>
        <v>420</v>
      </c>
      <c r="K4128" t="s">
        <v>18</v>
      </c>
      <c r="L4128" t="s">
        <v>18</v>
      </c>
      <c r="M4128" t="s">
        <v>18</v>
      </c>
    </row>
    <row r="4129" spans="1:13" x14ac:dyDescent="0.25">
      <c r="A4129" t="str">
        <f>"00201476"</f>
        <v>00201476</v>
      </c>
      <c r="B4129" t="s">
        <v>4011</v>
      </c>
      <c r="C4129" t="s">
        <v>4012</v>
      </c>
      <c r="D4129" t="s">
        <v>121</v>
      </c>
      <c r="E4129" t="s">
        <v>16</v>
      </c>
      <c r="F4129" t="s">
        <v>17</v>
      </c>
      <c r="G4129" t="str">
        <f>"10"</f>
        <v>10</v>
      </c>
      <c r="H4129" t="str">
        <f>"0  "</f>
        <v xml:space="preserve">0  </v>
      </c>
      <c r="I4129" t="str">
        <f>"2020/01/07"</f>
        <v>2020/01/07</v>
      </c>
      <c r="J4129" t="str">
        <f>"420"</f>
        <v>420</v>
      </c>
      <c r="K4129" t="s">
        <v>18</v>
      </c>
      <c r="L4129" t="s">
        <v>18</v>
      </c>
      <c r="M4129" t="s">
        <v>18</v>
      </c>
    </row>
    <row r="4130" spans="1:13" x14ac:dyDescent="0.25">
      <c r="A4130" t="str">
        <f>"00924311"</f>
        <v>00924311</v>
      </c>
      <c r="B4130" t="s">
        <v>4015</v>
      </c>
      <c r="C4130" t="s">
        <v>136</v>
      </c>
      <c r="D4130" t="s">
        <v>37</v>
      </c>
      <c r="E4130" t="s">
        <v>16</v>
      </c>
      <c r="F4130" t="s">
        <v>17</v>
      </c>
      <c r="G4130" t="str">
        <f>"10"</f>
        <v>10</v>
      </c>
      <c r="H4130" t="str">
        <f>"0  "</f>
        <v xml:space="preserve">0  </v>
      </c>
      <c r="I4130" t="str">
        <f>"2020/01/21"</f>
        <v>2020/01/21</v>
      </c>
      <c r="J4130" t="str">
        <f>"420"</f>
        <v>420</v>
      </c>
      <c r="K4130" t="s">
        <v>18</v>
      </c>
      <c r="L4130" t="s">
        <v>18</v>
      </c>
      <c r="M4130" t="s">
        <v>18</v>
      </c>
    </row>
    <row r="4131" spans="1:13" x14ac:dyDescent="0.25">
      <c r="A4131" t="str">
        <f>"00445173"</f>
        <v>00445173</v>
      </c>
      <c r="B4131" t="s">
        <v>4016</v>
      </c>
      <c r="C4131" t="s">
        <v>3554</v>
      </c>
      <c r="D4131" t="s">
        <v>16</v>
      </c>
      <c r="E4131" t="s">
        <v>26</v>
      </c>
      <c r="F4131" t="s">
        <v>17</v>
      </c>
      <c r="G4131" t="str">
        <f>"10"</f>
        <v>10</v>
      </c>
      <c r="H4131" t="str">
        <f>"0  "</f>
        <v xml:space="preserve">0  </v>
      </c>
      <c r="I4131" t="str">
        <f>"2020/07/08"</f>
        <v>2020/07/08</v>
      </c>
      <c r="J4131" t="str">
        <f>"420"</f>
        <v>420</v>
      </c>
      <c r="K4131" t="s">
        <v>18</v>
      </c>
      <c r="L4131" t="s">
        <v>18</v>
      </c>
      <c r="M4131" t="s">
        <v>18</v>
      </c>
    </row>
    <row r="4132" spans="1:13" x14ac:dyDescent="0.25">
      <c r="A4132" t="str">
        <f>"00455355"</f>
        <v>00455355</v>
      </c>
      <c r="B4132" t="s">
        <v>4021</v>
      </c>
      <c r="C4132" t="s">
        <v>4022</v>
      </c>
      <c r="D4132" t="s">
        <v>53</v>
      </c>
      <c r="E4132" t="s">
        <v>26</v>
      </c>
      <c r="F4132" t="s">
        <v>17</v>
      </c>
      <c r="G4132" t="str">
        <f>"10"</f>
        <v>10</v>
      </c>
      <c r="H4132" t="str">
        <f>"3  "</f>
        <v xml:space="preserve">3  </v>
      </c>
      <c r="I4132" t="str">
        <f>"2018/11/30"</f>
        <v>2018/11/30</v>
      </c>
      <c r="J4132" t="str">
        <f>"120"</f>
        <v>120</v>
      </c>
      <c r="K4132" t="str">
        <f>"20220411"</f>
        <v>20220411</v>
      </c>
      <c r="L4132" t="s">
        <v>18</v>
      </c>
      <c r="M4132" t="str">
        <f>"20171120"</f>
        <v>20171120</v>
      </c>
    </row>
    <row r="4133" spans="1:13" x14ac:dyDescent="0.25">
      <c r="A4133" t="str">
        <f>"00702693"</f>
        <v>00702693</v>
      </c>
      <c r="B4133" t="s">
        <v>4026</v>
      </c>
      <c r="C4133" t="s">
        <v>658</v>
      </c>
      <c r="D4133" t="s">
        <v>31</v>
      </c>
      <c r="E4133" t="s">
        <v>26</v>
      </c>
      <c r="F4133" t="s">
        <v>17</v>
      </c>
      <c r="G4133" t="str">
        <f>"10"</f>
        <v>10</v>
      </c>
      <c r="H4133" t="str">
        <f>"1  "</f>
        <v xml:space="preserve">1  </v>
      </c>
      <c r="I4133" t="str">
        <f>"2020/06/02"</f>
        <v>2020/06/02</v>
      </c>
      <c r="J4133" t="str">
        <f>"120"</f>
        <v>120</v>
      </c>
      <c r="K4133" t="str">
        <f>"20201106"</f>
        <v>20201106</v>
      </c>
      <c r="L4133" t="s">
        <v>18</v>
      </c>
      <c r="M4133" t="str">
        <f>"20200312"</f>
        <v>20200312</v>
      </c>
    </row>
    <row r="4134" spans="1:13" x14ac:dyDescent="0.25">
      <c r="A4134" t="str">
        <f>"00518174"</f>
        <v>00518174</v>
      </c>
      <c r="B4134" t="s">
        <v>4027</v>
      </c>
      <c r="C4134" t="s">
        <v>4029</v>
      </c>
      <c r="D4134" t="s">
        <v>25</v>
      </c>
      <c r="E4134" t="s">
        <v>26</v>
      </c>
      <c r="F4134" t="s">
        <v>17</v>
      </c>
      <c r="G4134" t="str">
        <f>"10"</f>
        <v>10</v>
      </c>
      <c r="H4134" t="str">
        <f>"3  "</f>
        <v xml:space="preserve">3  </v>
      </c>
      <c r="I4134" t="str">
        <f>"2018/08/27"</f>
        <v>2018/08/27</v>
      </c>
      <c r="J4134" t="str">
        <f>"110"</f>
        <v>110</v>
      </c>
      <c r="K4134" t="str">
        <f>"20220125"</f>
        <v>20220125</v>
      </c>
      <c r="L4134" t="s">
        <v>18</v>
      </c>
      <c r="M4134" t="str">
        <f>"20171017"</f>
        <v>20171017</v>
      </c>
    </row>
    <row r="4135" spans="1:13" x14ac:dyDescent="0.25">
      <c r="A4135" t="str">
        <f>"00211464"</f>
        <v>00211464</v>
      </c>
      <c r="B4135" t="s">
        <v>4027</v>
      </c>
      <c r="C4135" t="s">
        <v>313</v>
      </c>
      <c r="D4135" t="s">
        <v>456</v>
      </c>
      <c r="E4135" t="s">
        <v>26</v>
      </c>
      <c r="F4135" t="s">
        <v>17</v>
      </c>
      <c r="G4135" t="str">
        <f>"10"</f>
        <v>10</v>
      </c>
      <c r="H4135" t="str">
        <f>"1  "</f>
        <v xml:space="preserve">1  </v>
      </c>
      <c r="I4135" t="str">
        <f>"2020/01/23"</f>
        <v>2020/01/23</v>
      </c>
      <c r="J4135" t="str">
        <f>"512"</f>
        <v>512</v>
      </c>
      <c r="K4135" t="str">
        <f>"20201003"</f>
        <v>20201003</v>
      </c>
      <c r="L4135" t="s">
        <v>18</v>
      </c>
      <c r="M4135" t="str">
        <f>"20200107"</f>
        <v>20200107</v>
      </c>
    </row>
    <row r="4136" spans="1:13" x14ac:dyDescent="0.25">
      <c r="A4136" t="str">
        <f>"00173947"</f>
        <v>00173947</v>
      </c>
      <c r="B4136" t="s">
        <v>4027</v>
      </c>
      <c r="C4136" t="s">
        <v>96</v>
      </c>
      <c r="D4136" t="s">
        <v>15</v>
      </c>
      <c r="E4136" t="s">
        <v>26</v>
      </c>
      <c r="F4136" t="s">
        <v>17</v>
      </c>
      <c r="G4136" t="str">
        <f>"10"</f>
        <v>10</v>
      </c>
      <c r="H4136" t="str">
        <f>"3  "</f>
        <v xml:space="preserve">3  </v>
      </c>
      <c r="I4136" t="str">
        <f>"2019/01/04"</f>
        <v>2019/01/04</v>
      </c>
      <c r="J4136" t="str">
        <f>"110"</f>
        <v>110</v>
      </c>
      <c r="K4136" t="str">
        <f>"20260106"</f>
        <v>20260106</v>
      </c>
      <c r="L4136" t="s">
        <v>18</v>
      </c>
      <c r="M4136" t="str">
        <f>"20181213"</f>
        <v>20181213</v>
      </c>
    </row>
    <row r="4137" spans="1:13" x14ac:dyDescent="0.25">
      <c r="A4137" t="str">
        <f>"00256923"</f>
        <v>00256923</v>
      </c>
      <c r="B4137" t="s">
        <v>4027</v>
      </c>
      <c r="C4137" t="s">
        <v>59</v>
      </c>
      <c r="D4137" t="s">
        <v>51</v>
      </c>
      <c r="E4137" t="s">
        <v>26</v>
      </c>
      <c r="F4137" t="s">
        <v>17</v>
      </c>
      <c r="G4137" t="str">
        <f>"10"</f>
        <v>10</v>
      </c>
      <c r="H4137" t="str">
        <f>"1  "</f>
        <v xml:space="preserve">1  </v>
      </c>
      <c r="I4137" t="str">
        <f>"2020/01/15"</f>
        <v>2020/01/15</v>
      </c>
      <c r="J4137" t="str">
        <f>"120"</f>
        <v>120</v>
      </c>
      <c r="K4137" t="str">
        <f>"20201209"</f>
        <v>20201209</v>
      </c>
      <c r="L4137" t="s">
        <v>18</v>
      </c>
      <c r="M4137" t="str">
        <f>"20200103"</f>
        <v>20200103</v>
      </c>
    </row>
    <row r="4138" spans="1:13" x14ac:dyDescent="0.25">
      <c r="A4138" t="str">
        <f>"00175046"</f>
        <v>00175046</v>
      </c>
      <c r="B4138" t="s">
        <v>4036</v>
      </c>
      <c r="C4138" t="s">
        <v>155</v>
      </c>
      <c r="D4138" t="s">
        <v>25</v>
      </c>
      <c r="E4138" t="s">
        <v>26</v>
      </c>
      <c r="F4138" t="s">
        <v>17</v>
      </c>
      <c r="G4138" t="str">
        <f>"10"</f>
        <v>10</v>
      </c>
      <c r="H4138" t="str">
        <f>"0  "</f>
        <v xml:space="preserve">0  </v>
      </c>
      <c r="I4138" t="str">
        <f>"2020/07/18"</f>
        <v>2020/07/18</v>
      </c>
      <c r="J4138" t="str">
        <f>"512"</f>
        <v>512</v>
      </c>
      <c r="K4138" t="s">
        <v>18</v>
      </c>
      <c r="L4138" t="s">
        <v>18</v>
      </c>
      <c r="M4138" t="s">
        <v>18</v>
      </c>
    </row>
    <row r="4139" spans="1:13" x14ac:dyDescent="0.25">
      <c r="A4139" t="str">
        <f>"00443782"</f>
        <v>00443782</v>
      </c>
      <c r="B4139" t="s">
        <v>4036</v>
      </c>
      <c r="C4139" t="s">
        <v>294</v>
      </c>
      <c r="D4139" t="s">
        <v>37</v>
      </c>
      <c r="E4139" t="s">
        <v>16</v>
      </c>
      <c r="F4139" t="s">
        <v>17</v>
      </c>
      <c r="G4139" t="str">
        <f>"10"</f>
        <v>10</v>
      </c>
      <c r="H4139" t="str">
        <f>"1  "</f>
        <v xml:space="preserve">1  </v>
      </c>
      <c r="I4139" t="str">
        <f>"2020/07/28"</f>
        <v>2020/07/28</v>
      </c>
      <c r="J4139" t="str">
        <f>"512"</f>
        <v>512</v>
      </c>
      <c r="K4139" t="str">
        <f>"20201021"</f>
        <v>20201021</v>
      </c>
      <c r="L4139" t="s">
        <v>18</v>
      </c>
      <c r="M4139" t="str">
        <f>"20200728"</f>
        <v>20200728</v>
      </c>
    </row>
    <row r="4140" spans="1:13" x14ac:dyDescent="0.25">
      <c r="A4140" t="str">
        <f>"00659380"</f>
        <v>00659380</v>
      </c>
      <c r="B4140" t="s">
        <v>4046</v>
      </c>
      <c r="C4140" t="s">
        <v>397</v>
      </c>
      <c r="D4140" t="s">
        <v>61</v>
      </c>
      <c r="E4140" t="s">
        <v>26</v>
      </c>
      <c r="F4140" t="s">
        <v>17</v>
      </c>
      <c r="G4140" t="str">
        <f>"10"</f>
        <v>10</v>
      </c>
      <c r="H4140" t="str">
        <f>"0  "</f>
        <v xml:space="preserve">0  </v>
      </c>
      <c r="I4140" t="str">
        <f>"2020/09/14"</f>
        <v>2020/09/14</v>
      </c>
      <c r="J4140" t="str">
        <f>"420"</f>
        <v>420</v>
      </c>
      <c r="K4140" t="s">
        <v>18</v>
      </c>
      <c r="L4140" t="s">
        <v>18</v>
      </c>
      <c r="M4140" t="s">
        <v>18</v>
      </c>
    </row>
    <row r="4141" spans="1:13" x14ac:dyDescent="0.25">
      <c r="A4141" t="str">
        <f>"00853161"</f>
        <v>00853161</v>
      </c>
      <c r="B4141" t="s">
        <v>4051</v>
      </c>
      <c r="C4141" t="s">
        <v>237</v>
      </c>
      <c r="D4141" t="s">
        <v>25</v>
      </c>
      <c r="E4141" t="s">
        <v>16</v>
      </c>
      <c r="F4141" t="s">
        <v>17</v>
      </c>
      <c r="G4141" t="str">
        <f>"10"</f>
        <v>10</v>
      </c>
      <c r="H4141" t="str">
        <f>"0  "</f>
        <v xml:space="preserve">0  </v>
      </c>
      <c r="I4141" t="str">
        <f>"2020/01/29"</f>
        <v>2020/01/29</v>
      </c>
      <c r="J4141" t="str">
        <f>"420"</f>
        <v>420</v>
      </c>
      <c r="K4141" t="s">
        <v>18</v>
      </c>
      <c r="L4141" t="s">
        <v>18</v>
      </c>
      <c r="M4141" t="s">
        <v>18</v>
      </c>
    </row>
    <row r="4142" spans="1:13" x14ac:dyDescent="0.25">
      <c r="A4142" t="str">
        <f>"00427388"</f>
        <v>00427388</v>
      </c>
      <c r="B4142" t="s">
        <v>4051</v>
      </c>
      <c r="C4142" t="s">
        <v>327</v>
      </c>
      <c r="D4142" t="s">
        <v>456</v>
      </c>
      <c r="E4142" t="s">
        <v>16</v>
      </c>
      <c r="F4142" t="s">
        <v>17</v>
      </c>
      <c r="G4142" t="str">
        <f>"10"</f>
        <v>10</v>
      </c>
      <c r="H4142" t="str">
        <f>"3  "</f>
        <v xml:space="preserve">3  </v>
      </c>
      <c r="I4142" t="str">
        <f>"2015/11/10"</f>
        <v>2015/11/10</v>
      </c>
      <c r="J4142" t="str">
        <f>"110"</f>
        <v>110</v>
      </c>
      <c r="K4142" t="str">
        <f>"20210328"</f>
        <v>20210328</v>
      </c>
      <c r="L4142" t="s">
        <v>18</v>
      </c>
      <c r="M4142" t="str">
        <f>"20150331"</f>
        <v>20150331</v>
      </c>
    </row>
    <row r="4143" spans="1:13" x14ac:dyDescent="0.25">
      <c r="A4143" t="str">
        <f>"00425266"</f>
        <v>00425266</v>
      </c>
      <c r="B4143" t="s">
        <v>4051</v>
      </c>
      <c r="C4143" t="s">
        <v>4056</v>
      </c>
      <c r="D4143" t="s">
        <v>61</v>
      </c>
      <c r="E4143" t="s">
        <v>26</v>
      </c>
      <c r="F4143" t="s">
        <v>17</v>
      </c>
      <c r="G4143" t="str">
        <f>"10"</f>
        <v>10</v>
      </c>
      <c r="H4143" t="str">
        <f>"3  "</f>
        <v xml:space="preserve">3  </v>
      </c>
      <c r="I4143" t="str">
        <f>"2019/07/19"</f>
        <v>2019/07/19</v>
      </c>
      <c r="J4143" t="str">
        <f>"110"</f>
        <v>110</v>
      </c>
      <c r="K4143" t="str">
        <f>"20210629"</f>
        <v>20210629</v>
      </c>
      <c r="L4143" t="s">
        <v>18</v>
      </c>
      <c r="M4143" t="str">
        <f>"20190107"</f>
        <v>20190107</v>
      </c>
    </row>
    <row r="4144" spans="1:13" x14ac:dyDescent="0.25">
      <c r="A4144" t="str">
        <f>"00846260"</f>
        <v>00846260</v>
      </c>
      <c r="B4144" t="s">
        <v>4059</v>
      </c>
      <c r="C4144" t="s">
        <v>4060</v>
      </c>
      <c r="D4144" t="s">
        <v>25</v>
      </c>
      <c r="E4144" t="s">
        <v>16</v>
      </c>
      <c r="F4144" t="s">
        <v>17</v>
      </c>
      <c r="G4144" t="str">
        <f>"10"</f>
        <v>10</v>
      </c>
      <c r="H4144" t="str">
        <f>"3  "</f>
        <v xml:space="preserve">3  </v>
      </c>
      <c r="I4144" t="str">
        <f>"2019/05/07"</f>
        <v>2019/05/07</v>
      </c>
      <c r="J4144" t="str">
        <f>"110"</f>
        <v>110</v>
      </c>
      <c r="K4144" t="str">
        <f>"20210319"</f>
        <v>20210319</v>
      </c>
      <c r="L4144" t="s">
        <v>18</v>
      </c>
      <c r="M4144" t="str">
        <f>"20180310"</f>
        <v>20180310</v>
      </c>
    </row>
    <row r="4145" spans="1:13" x14ac:dyDescent="0.25">
      <c r="A4145" t="str">
        <f>"00908698"</f>
        <v>00908698</v>
      </c>
      <c r="B4145" t="s">
        <v>4068</v>
      </c>
      <c r="C4145" t="s">
        <v>14</v>
      </c>
      <c r="D4145" t="s">
        <v>456</v>
      </c>
      <c r="E4145" t="s">
        <v>16</v>
      </c>
      <c r="F4145" t="s">
        <v>17</v>
      </c>
      <c r="G4145" t="str">
        <f>"10"</f>
        <v>10</v>
      </c>
      <c r="H4145" t="str">
        <f>"0  "</f>
        <v xml:space="preserve">0  </v>
      </c>
      <c r="I4145" t="str">
        <f>"2020/09/16"</f>
        <v>2020/09/16</v>
      </c>
      <c r="J4145" t="str">
        <f>"420"</f>
        <v>420</v>
      </c>
      <c r="K4145" t="s">
        <v>18</v>
      </c>
      <c r="L4145" t="s">
        <v>18</v>
      </c>
      <c r="M4145" t="s">
        <v>18</v>
      </c>
    </row>
    <row r="4146" spans="1:13" x14ac:dyDescent="0.25">
      <c r="A4146" t="str">
        <f>"00895869"</f>
        <v>00895869</v>
      </c>
      <c r="B4146" t="s">
        <v>375</v>
      </c>
      <c r="C4146" t="s">
        <v>376</v>
      </c>
      <c r="D4146" t="s">
        <v>25</v>
      </c>
      <c r="E4146" t="s">
        <v>16</v>
      </c>
      <c r="F4146" t="s">
        <v>34</v>
      </c>
      <c r="G4146" t="str">
        <f>"11"</f>
        <v>11</v>
      </c>
      <c r="H4146" t="str">
        <f>"1  "</f>
        <v xml:space="preserve">1  </v>
      </c>
      <c r="I4146" t="str">
        <f>"2020/09/16"</f>
        <v>2020/09/16</v>
      </c>
      <c r="J4146" t="str">
        <f>"501"</f>
        <v>501</v>
      </c>
      <c r="K4146" t="str">
        <f>"20201005"</f>
        <v>20201005</v>
      </c>
      <c r="L4146" t="s">
        <v>18</v>
      </c>
      <c r="M4146" t="str">
        <f>"20191204"</f>
        <v>20191204</v>
      </c>
    </row>
    <row r="4147" spans="1:13" x14ac:dyDescent="0.25">
      <c r="A4147" t="str">
        <f>"00567220"</f>
        <v>00567220</v>
      </c>
      <c r="B4147" t="s">
        <v>489</v>
      </c>
      <c r="C4147" t="s">
        <v>490</v>
      </c>
      <c r="D4147" t="s">
        <v>40</v>
      </c>
      <c r="E4147" t="s">
        <v>26</v>
      </c>
      <c r="F4147" t="s">
        <v>34</v>
      </c>
      <c r="G4147" t="str">
        <f>"11"</f>
        <v>11</v>
      </c>
      <c r="H4147" t="str">
        <f>"1  "</f>
        <v xml:space="preserve">1  </v>
      </c>
      <c r="I4147" t="str">
        <f>"2020/08/11"</f>
        <v>2020/08/11</v>
      </c>
      <c r="J4147" t="str">
        <f>"501"</f>
        <v>501</v>
      </c>
      <c r="K4147" t="str">
        <f>"20210607"</f>
        <v>20210607</v>
      </c>
      <c r="L4147" t="s">
        <v>18</v>
      </c>
      <c r="M4147" t="str">
        <f>"20200722"</f>
        <v>20200722</v>
      </c>
    </row>
    <row r="4148" spans="1:13" x14ac:dyDescent="0.25">
      <c r="A4148" t="str">
        <f>"00784576"</f>
        <v>00784576</v>
      </c>
      <c r="B4148" t="s">
        <v>521</v>
      </c>
      <c r="C4148" t="s">
        <v>522</v>
      </c>
      <c r="D4148" t="s">
        <v>40</v>
      </c>
      <c r="E4148" t="s">
        <v>26</v>
      </c>
      <c r="F4148" t="s">
        <v>34</v>
      </c>
      <c r="G4148" t="str">
        <f>"11"</f>
        <v>11</v>
      </c>
      <c r="H4148" t="str">
        <f>"1  "</f>
        <v xml:space="preserve">1  </v>
      </c>
      <c r="I4148" t="str">
        <f>"2020/09/02"</f>
        <v>2020/09/02</v>
      </c>
      <c r="J4148" t="str">
        <f>"501"</f>
        <v>501</v>
      </c>
      <c r="K4148" t="str">
        <f>"20210717"</f>
        <v>20210717</v>
      </c>
      <c r="L4148" t="s">
        <v>18</v>
      </c>
      <c r="M4148" t="str">
        <f>"20200811"</f>
        <v>20200811</v>
      </c>
    </row>
    <row r="4149" spans="1:13" x14ac:dyDescent="0.25">
      <c r="A4149" t="str">
        <f>"00450774"</f>
        <v>00450774</v>
      </c>
      <c r="B4149" t="s">
        <v>549</v>
      </c>
      <c r="C4149" t="s">
        <v>550</v>
      </c>
      <c r="D4149" t="s">
        <v>51</v>
      </c>
      <c r="E4149" t="s">
        <v>16</v>
      </c>
      <c r="F4149" t="s">
        <v>34</v>
      </c>
      <c r="G4149" t="str">
        <f>"11"</f>
        <v>11</v>
      </c>
      <c r="H4149" t="str">
        <f>"1  "</f>
        <v xml:space="preserve">1  </v>
      </c>
      <c r="I4149" t="str">
        <f>"2020/09/16"</f>
        <v>2020/09/16</v>
      </c>
      <c r="J4149" t="str">
        <f>"501"</f>
        <v>501</v>
      </c>
      <c r="K4149" t="str">
        <f>"20210117"</f>
        <v>20210117</v>
      </c>
      <c r="L4149" t="s">
        <v>18</v>
      </c>
      <c r="M4149" t="str">
        <f>"20200801"</f>
        <v>20200801</v>
      </c>
    </row>
    <row r="4150" spans="1:13" x14ac:dyDescent="0.25">
      <c r="A4150" t="str">
        <f>"00420212"</f>
        <v>00420212</v>
      </c>
      <c r="B4150" t="s">
        <v>703</v>
      </c>
      <c r="C4150" t="s">
        <v>704</v>
      </c>
      <c r="D4150" t="s">
        <v>45</v>
      </c>
      <c r="E4150" t="s">
        <v>26</v>
      </c>
      <c r="F4150" t="s">
        <v>34</v>
      </c>
      <c r="G4150" t="str">
        <f>"11"</f>
        <v>11</v>
      </c>
      <c r="H4150" t="str">
        <f>"1  "</f>
        <v xml:space="preserve">1  </v>
      </c>
      <c r="I4150" t="str">
        <f>"2020/07/29"</f>
        <v>2020/07/29</v>
      </c>
      <c r="J4150" t="str">
        <f>"501"</f>
        <v>501</v>
      </c>
      <c r="K4150" t="str">
        <f>"20201126"</f>
        <v>20201126</v>
      </c>
      <c r="L4150" t="s">
        <v>18</v>
      </c>
      <c r="M4150" t="str">
        <f>"20200627"</f>
        <v>20200627</v>
      </c>
    </row>
    <row r="4151" spans="1:13" x14ac:dyDescent="0.25">
      <c r="A4151" t="str">
        <f>"00546689"</f>
        <v>00546689</v>
      </c>
      <c r="B4151" t="s">
        <v>803</v>
      </c>
      <c r="C4151" t="s">
        <v>804</v>
      </c>
      <c r="D4151" t="s">
        <v>25</v>
      </c>
      <c r="E4151" t="s">
        <v>16</v>
      </c>
      <c r="F4151" t="s">
        <v>34</v>
      </c>
      <c r="G4151" t="str">
        <f>"11"</f>
        <v>11</v>
      </c>
      <c r="H4151" t="str">
        <f>"1  "</f>
        <v xml:space="preserve">1  </v>
      </c>
      <c r="I4151" t="str">
        <f>"2020/08/11"</f>
        <v>2020/08/11</v>
      </c>
      <c r="J4151" t="str">
        <f>"501"</f>
        <v>501</v>
      </c>
      <c r="K4151" t="str">
        <f>"20210621"</f>
        <v>20210621</v>
      </c>
      <c r="L4151" t="s">
        <v>18</v>
      </c>
      <c r="M4151" t="str">
        <f>"20200806"</f>
        <v>20200806</v>
      </c>
    </row>
    <row r="4152" spans="1:13" x14ac:dyDescent="0.25">
      <c r="A4152" t="str">
        <f>"00631689"</f>
        <v>00631689</v>
      </c>
      <c r="B4152" t="s">
        <v>821</v>
      </c>
      <c r="C4152" t="s">
        <v>822</v>
      </c>
      <c r="D4152" t="s">
        <v>15</v>
      </c>
      <c r="E4152" t="s">
        <v>26</v>
      </c>
      <c r="F4152" t="s">
        <v>34</v>
      </c>
      <c r="G4152" t="str">
        <f>"11"</f>
        <v>11</v>
      </c>
      <c r="H4152" t="str">
        <f>"1  "</f>
        <v xml:space="preserve">1  </v>
      </c>
      <c r="I4152" t="str">
        <f>"2020/07/01"</f>
        <v>2020/07/01</v>
      </c>
      <c r="J4152" t="str">
        <f>"501"</f>
        <v>501</v>
      </c>
      <c r="K4152" t="str">
        <f>"20210509"</f>
        <v>20210509</v>
      </c>
      <c r="L4152" t="s">
        <v>18</v>
      </c>
      <c r="M4152" t="str">
        <f>"20200619"</f>
        <v>20200619</v>
      </c>
    </row>
    <row r="4153" spans="1:13" x14ac:dyDescent="0.25">
      <c r="A4153" t="str">
        <f>"00638777"</f>
        <v>00638777</v>
      </c>
      <c r="B4153" t="s">
        <v>826</v>
      </c>
      <c r="C4153" t="s">
        <v>831</v>
      </c>
      <c r="D4153" t="s">
        <v>25</v>
      </c>
      <c r="E4153" t="s">
        <v>26</v>
      </c>
      <c r="F4153" t="s">
        <v>34</v>
      </c>
      <c r="G4153" t="str">
        <f>"11"</f>
        <v>11</v>
      </c>
      <c r="H4153" t="str">
        <f>"1  "</f>
        <v xml:space="preserve">1  </v>
      </c>
      <c r="I4153" t="str">
        <f>"2020/09/12"</f>
        <v>2020/09/12</v>
      </c>
      <c r="J4153" t="str">
        <f>"110"</f>
        <v>110</v>
      </c>
      <c r="K4153" t="str">
        <f>"20210221"</f>
        <v>20210221</v>
      </c>
      <c r="L4153" t="s">
        <v>18</v>
      </c>
      <c r="M4153" t="str">
        <f>"20200912"</f>
        <v>20200912</v>
      </c>
    </row>
    <row r="4154" spans="1:13" x14ac:dyDescent="0.25">
      <c r="A4154" t="str">
        <f>"00130394"</f>
        <v>00130394</v>
      </c>
      <c r="B4154" t="s">
        <v>900</v>
      </c>
      <c r="C4154" t="s">
        <v>901</v>
      </c>
      <c r="D4154" t="s">
        <v>25</v>
      </c>
      <c r="E4154" t="s">
        <v>16</v>
      </c>
      <c r="F4154" t="s">
        <v>34</v>
      </c>
      <c r="G4154" t="str">
        <f>"11"</f>
        <v>11</v>
      </c>
      <c r="H4154" t="str">
        <f>"3  "</f>
        <v xml:space="preserve">3  </v>
      </c>
      <c r="I4154" t="str">
        <f>"2020/09/16"</f>
        <v>2020/09/16</v>
      </c>
      <c r="J4154" t="str">
        <f>"501"</f>
        <v>501</v>
      </c>
      <c r="K4154" t="str">
        <f>"20230105"</f>
        <v>20230105</v>
      </c>
      <c r="L4154" t="s">
        <v>18</v>
      </c>
      <c r="M4154" t="str">
        <f>"20171204"</f>
        <v>20171204</v>
      </c>
    </row>
    <row r="4155" spans="1:13" x14ac:dyDescent="0.25">
      <c r="A4155" t="str">
        <f>"00550701"</f>
        <v>00550701</v>
      </c>
      <c r="B4155" t="s">
        <v>1370</v>
      </c>
      <c r="C4155" t="s">
        <v>1371</v>
      </c>
      <c r="D4155" t="s">
        <v>51</v>
      </c>
      <c r="E4155" t="s">
        <v>16</v>
      </c>
      <c r="F4155" t="s">
        <v>34</v>
      </c>
      <c r="G4155" t="str">
        <f>"11"</f>
        <v>11</v>
      </c>
      <c r="H4155" t="str">
        <f>"1  "</f>
        <v xml:space="preserve">1  </v>
      </c>
      <c r="I4155" t="str">
        <f>"2019/10/25"</f>
        <v>2019/10/25</v>
      </c>
      <c r="J4155" t="str">
        <f>"538"</f>
        <v>538</v>
      </c>
      <c r="K4155" t="s">
        <v>18</v>
      </c>
      <c r="L4155" t="s">
        <v>18</v>
      </c>
      <c r="M4155" t="s">
        <v>18</v>
      </c>
    </row>
    <row r="4156" spans="1:13" x14ac:dyDescent="0.25">
      <c r="A4156" t="str">
        <f>"00709754"</f>
        <v>00709754</v>
      </c>
      <c r="B4156" t="s">
        <v>1414</v>
      </c>
      <c r="C4156" t="s">
        <v>1415</v>
      </c>
      <c r="D4156" t="s">
        <v>215</v>
      </c>
      <c r="E4156" t="s">
        <v>26</v>
      </c>
      <c r="F4156" t="s">
        <v>34</v>
      </c>
      <c r="G4156" t="str">
        <f>"11"</f>
        <v>11</v>
      </c>
      <c r="H4156" t="str">
        <f>"1  "</f>
        <v xml:space="preserve">1  </v>
      </c>
      <c r="I4156" t="str">
        <f>"2020/08/26"</f>
        <v>2020/08/26</v>
      </c>
      <c r="J4156" t="str">
        <f>"501"</f>
        <v>501</v>
      </c>
      <c r="K4156" t="str">
        <f>"20210419"</f>
        <v>20210419</v>
      </c>
      <c r="L4156" t="s">
        <v>18</v>
      </c>
      <c r="M4156" t="str">
        <f>"20200810"</f>
        <v>20200810</v>
      </c>
    </row>
    <row r="4157" spans="1:13" x14ac:dyDescent="0.25">
      <c r="A4157" t="str">
        <f>"00487892"</f>
        <v>00487892</v>
      </c>
      <c r="B4157" t="s">
        <v>1456</v>
      </c>
      <c r="C4157" t="s">
        <v>116</v>
      </c>
      <c r="D4157" t="s">
        <v>25</v>
      </c>
      <c r="E4157" t="s">
        <v>16</v>
      </c>
      <c r="F4157" t="s">
        <v>34</v>
      </c>
      <c r="G4157" t="str">
        <f>"11"</f>
        <v>11</v>
      </c>
      <c r="H4157" t="str">
        <f>"1  "</f>
        <v xml:space="preserve">1  </v>
      </c>
      <c r="I4157" t="str">
        <f>"2020/08/26"</f>
        <v>2020/08/26</v>
      </c>
      <c r="J4157" t="str">
        <f>"501"</f>
        <v>501</v>
      </c>
      <c r="K4157" t="str">
        <f>"20210710"</f>
        <v>20210710</v>
      </c>
      <c r="L4157" t="s">
        <v>18</v>
      </c>
      <c r="M4157" t="str">
        <f>"20200807"</f>
        <v>20200807</v>
      </c>
    </row>
    <row r="4158" spans="1:13" x14ac:dyDescent="0.25">
      <c r="A4158" t="str">
        <f>"00478349"</f>
        <v>00478349</v>
      </c>
      <c r="B4158" t="s">
        <v>1626</v>
      </c>
      <c r="C4158" t="s">
        <v>1627</v>
      </c>
      <c r="D4158" t="s">
        <v>40</v>
      </c>
      <c r="E4158" t="s">
        <v>16</v>
      </c>
      <c r="F4158" t="s">
        <v>34</v>
      </c>
      <c r="G4158" t="str">
        <f>"11"</f>
        <v>11</v>
      </c>
      <c r="H4158" t="str">
        <f>"1  "</f>
        <v xml:space="preserve">1  </v>
      </c>
      <c r="I4158" t="str">
        <f>"2020/09/16"</f>
        <v>2020/09/16</v>
      </c>
      <c r="J4158" t="str">
        <f>"501"</f>
        <v>501</v>
      </c>
      <c r="K4158" t="str">
        <f>"20201001"</f>
        <v>20201001</v>
      </c>
      <c r="L4158" t="s">
        <v>18</v>
      </c>
      <c r="M4158" t="str">
        <f>"20200904"</f>
        <v>20200904</v>
      </c>
    </row>
    <row r="4159" spans="1:13" x14ac:dyDescent="0.25">
      <c r="A4159" t="str">
        <f>"00755389"</f>
        <v>00755389</v>
      </c>
      <c r="B4159" t="s">
        <v>1721</v>
      </c>
      <c r="C4159" t="s">
        <v>1724</v>
      </c>
      <c r="D4159" t="s">
        <v>80</v>
      </c>
      <c r="E4159" t="s">
        <v>16</v>
      </c>
      <c r="F4159" t="s">
        <v>34</v>
      </c>
      <c r="G4159" t="str">
        <f>"11"</f>
        <v>11</v>
      </c>
      <c r="H4159" t="str">
        <f>"1  "</f>
        <v xml:space="preserve">1  </v>
      </c>
      <c r="I4159" t="str">
        <f>"2020/09/02"</f>
        <v>2020/09/02</v>
      </c>
      <c r="J4159" t="str">
        <f>"501"</f>
        <v>501</v>
      </c>
      <c r="K4159" t="str">
        <f>"20201018"</f>
        <v>20201018</v>
      </c>
      <c r="L4159" t="s">
        <v>18</v>
      </c>
      <c r="M4159" t="str">
        <f>"20200626"</f>
        <v>20200626</v>
      </c>
    </row>
    <row r="4160" spans="1:13" x14ac:dyDescent="0.25">
      <c r="A4160" t="str">
        <f>"00701693"</f>
        <v>00701693</v>
      </c>
      <c r="B4160" t="s">
        <v>1766</v>
      </c>
      <c r="C4160" t="s">
        <v>1767</v>
      </c>
      <c r="D4160" t="s">
        <v>51</v>
      </c>
      <c r="E4160" t="s">
        <v>16</v>
      </c>
      <c r="F4160" t="s">
        <v>34</v>
      </c>
      <c r="G4160" t="str">
        <f>"11"</f>
        <v>11</v>
      </c>
      <c r="H4160" t="str">
        <f>"1  "</f>
        <v xml:space="preserve">1  </v>
      </c>
      <c r="I4160" t="str">
        <f>"2020/07/01"</f>
        <v>2020/07/01</v>
      </c>
      <c r="J4160" t="str">
        <f>"501"</f>
        <v>501</v>
      </c>
      <c r="K4160" t="str">
        <f>"20210407"</f>
        <v>20210407</v>
      </c>
      <c r="L4160" t="s">
        <v>18</v>
      </c>
      <c r="M4160" t="str">
        <f>"20200610"</f>
        <v>20200610</v>
      </c>
    </row>
    <row r="4161" spans="1:13" x14ac:dyDescent="0.25">
      <c r="A4161" t="str">
        <f>"00480006"</f>
        <v>00480006</v>
      </c>
      <c r="B4161" t="s">
        <v>1966</v>
      </c>
      <c r="C4161" t="s">
        <v>1865</v>
      </c>
      <c r="D4161" t="s">
        <v>15</v>
      </c>
      <c r="E4161" t="s">
        <v>16</v>
      </c>
      <c r="F4161" t="s">
        <v>34</v>
      </c>
      <c r="G4161" t="str">
        <f>"11"</f>
        <v>11</v>
      </c>
      <c r="H4161" t="str">
        <f>"1  "</f>
        <v xml:space="preserve">1  </v>
      </c>
      <c r="I4161" t="str">
        <f>"2020/06/17"</f>
        <v>2020/06/17</v>
      </c>
      <c r="J4161" t="str">
        <f>"501"</f>
        <v>501</v>
      </c>
      <c r="K4161" t="str">
        <f>"20210410"</f>
        <v>20210410</v>
      </c>
      <c r="L4161" t="s">
        <v>18</v>
      </c>
      <c r="M4161" t="str">
        <f>"20200528"</f>
        <v>20200528</v>
      </c>
    </row>
    <row r="4162" spans="1:13" x14ac:dyDescent="0.25">
      <c r="A4162" t="str">
        <f>"00609450"</f>
        <v>00609450</v>
      </c>
      <c r="B4162" t="s">
        <v>2042</v>
      </c>
      <c r="C4162" t="s">
        <v>1530</v>
      </c>
      <c r="D4162" t="s">
        <v>26</v>
      </c>
      <c r="E4162" t="s">
        <v>16</v>
      </c>
      <c r="F4162" t="s">
        <v>34</v>
      </c>
      <c r="G4162" t="str">
        <f>"11"</f>
        <v>11</v>
      </c>
      <c r="H4162" t="str">
        <f>"3  "</f>
        <v xml:space="preserve">3  </v>
      </c>
      <c r="I4162" t="str">
        <f>"2020/07/29"</f>
        <v>2020/07/29</v>
      </c>
      <c r="J4162" t="str">
        <f>"501"</f>
        <v>501</v>
      </c>
      <c r="K4162" t="str">
        <f>"20380625"</f>
        <v>20380625</v>
      </c>
      <c r="L4162" t="s">
        <v>18</v>
      </c>
      <c r="M4162" t="str">
        <f>"20200623"</f>
        <v>20200623</v>
      </c>
    </row>
    <row r="4163" spans="1:13" x14ac:dyDescent="0.25">
      <c r="A4163" t="str">
        <f>"00261230"</f>
        <v>00261230</v>
      </c>
      <c r="B4163" t="s">
        <v>2122</v>
      </c>
      <c r="C4163" t="s">
        <v>1057</v>
      </c>
      <c r="D4163" t="s">
        <v>21</v>
      </c>
      <c r="E4163" t="s">
        <v>26</v>
      </c>
      <c r="F4163" t="s">
        <v>34</v>
      </c>
      <c r="G4163" t="str">
        <f>"11"</f>
        <v>11</v>
      </c>
      <c r="H4163" t="str">
        <f>"1  "</f>
        <v xml:space="preserve">1  </v>
      </c>
      <c r="I4163" t="str">
        <f>"2020/09/02"</f>
        <v>2020/09/02</v>
      </c>
      <c r="J4163" t="str">
        <f>"501"</f>
        <v>501</v>
      </c>
      <c r="K4163" t="str">
        <f>"20210208"</f>
        <v>20210208</v>
      </c>
      <c r="L4163" t="s">
        <v>18</v>
      </c>
      <c r="M4163" t="str">
        <f>"20200827"</f>
        <v>20200827</v>
      </c>
    </row>
    <row r="4164" spans="1:13" x14ac:dyDescent="0.25">
      <c r="A4164" t="str">
        <f>"00529453"</f>
        <v>00529453</v>
      </c>
      <c r="B4164" t="s">
        <v>2167</v>
      </c>
      <c r="C4164" t="s">
        <v>808</v>
      </c>
      <c r="D4164" t="s">
        <v>37</v>
      </c>
      <c r="E4164" t="s">
        <v>16</v>
      </c>
      <c r="F4164" t="s">
        <v>34</v>
      </c>
      <c r="G4164" t="str">
        <f>"11"</f>
        <v>11</v>
      </c>
      <c r="H4164" t="str">
        <f>"3  "</f>
        <v xml:space="preserve">3  </v>
      </c>
      <c r="I4164" t="str">
        <f>"2020/09/16"</f>
        <v>2020/09/16</v>
      </c>
      <c r="J4164" t="str">
        <f>"501"</f>
        <v>501</v>
      </c>
      <c r="K4164" t="str">
        <f>"20231016"</f>
        <v>20231016</v>
      </c>
      <c r="L4164" t="s">
        <v>18</v>
      </c>
      <c r="M4164" t="str">
        <f>"20200903"</f>
        <v>20200903</v>
      </c>
    </row>
    <row r="4165" spans="1:13" x14ac:dyDescent="0.25">
      <c r="A4165" t="str">
        <f>"00476589"</f>
        <v>00476589</v>
      </c>
      <c r="B4165" t="s">
        <v>2286</v>
      </c>
      <c r="C4165" t="s">
        <v>929</v>
      </c>
      <c r="D4165" t="s">
        <v>40</v>
      </c>
      <c r="E4165" t="s">
        <v>26</v>
      </c>
      <c r="F4165" t="s">
        <v>34</v>
      </c>
      <c r="G4165" t="str">
        <f>"11"</f>
        <v>11</v>
      </c>
      <c r="H4165" t="str">
        <f>"1  "</f>
        <v xml:space="preserve">1  </v>
      </c>
      <c r="I4165" t="str">
        <f>"2020/09/11"</f>
        <v>2020/09/11</v>
      </c>
      <c r="J4165" t="str">
        <f>"501"</f>
        <v>501</v>
      </c>
      <c r="K4165" t="str">
        <f>"20210706"</f>
        <v>20210706</v>
      </c>
      <c r="L4165" t="s">
        <v>18</v>
      </c>
      <c r="M4165" t="str">
        <f>"20200803"</f>
        <v>20200803</v>
      </c>
    </row>
    <row r="4166" spans="1:13" x14ac:dyDescent="0.25">
      <c r="A4166" t="str">
        <f>"00454866"</f>
        <v>00454866</v>
      </c>
      <c r="B4166" t="s">
        <v>2397</v>
      </c>
      <c r="C4166" t="s">
        <v>2398</v>
      </c>
      <c r="D4166" t="s">
        <v>25</v>
      </c>
      <c r="E4166" t="s">
        <v>16</v>
      </c>
      <c r="F4166" t="s">
        <v>34</v>
      </c>
      <c r="G4166" t="str">
        <f>"11"</f>
        <v>11</v>
      </c>
      <c r="H4166" t="str">
        <f>"1  "</f>
        <v xml:space="preserve">1  </v>
      </c>
      <c r="I4166" t="str">
        <f>"2020/08/11"</f>
        <v>2020/08/11</v>
      </c>
      <c r="J4166" t="str">
        <f>"501"</f>
        <v>501</v>
      </c>
      <c r="K4166" t="str">
        <f>"20210620"</f>
        <v>20210620</v>
      </c>
      <c r="L4166" t="s">
        <v>18</v>
      </c>
      <c r="M4166" t="str">
        <f>"20200806"</f>
        <v>20200806</v>
      </c>
    </row>
    <row r="4167" spans="1:13" x14ac:dyDescent="0.25">
      <c r="A4167" t="str">
        <f>"00617995"</f>
        <v>00617995</v>
      </c>
      <c r="B4167" t="s">
        <v>2461</v>
      </c>
      <c r="C4167" t="s">
        <v>1865</v>
      </c>
      <c r="D4167" t="s">
        <v>40</v>
      </c>
      <c r="E4167" t="s">
        <v>16</v>
      </c>
      <c r="F4167" t="s">
        <v>34</v>
      </c>
      <c r="G4167" t="str">
        <f>"11"</f>
        <v>11</v>
      </c>
      <c r="H4167" t="str">
        <f>"1  "</f>
        <v xml:space="preserve">1  </v>
      </c>
      <c r="I4167" t="str">
        <f>"2020/02/04"</f>
        <v>2020/02/04</v>
      </c>
      <c r="J4167" t="str">
        <f>"110"</f>
        <v>110</v>
      </c>
      <c r="K4167" t="str">
        <f>"20210203"</f>
        <v>20210203</v>
      </c>
      <c r="L4167" t="s">
        <v>18</v>
      </c>
      <c r="M4167" t="str">
        <f>"20200204"</f>
        <v>20200204</v>
      </c>
    </row>
    <row r="4168" spans="1:13" x14ac:dyDescent="0.25">
      <c r="A4168" t="str">
        <f>"00681588"</f>
        <v>00681588</v>
      </c>
      <c r="B4168" t="s">
        <v>2712</v>
      </c>
      <c r="C4168" t="s">
        <v>609</v>
      </c>
      <c r="D4168" t="s">
        <v>61</v>
      </c>
      <c r="E4168" t="s">
        <v>16</v>
      </c>
      <c r="F4168" t="s">
        <v>34</v>
      </c>
      <c r="G4168" t="str">
        <f>"11"</f>
        <v>11</v>
      </c>
      <c r="H4168" t="str">
        <f>"1  "</f>
        <v xml:space="preserve">1  </v>
      </c>
      <c r="I4168" t="str">
        <f>"2020/07/29"</f>
        <v>2020/07/29</v>
      </c>
      <c r="J4168" t="str">
        <f>"501"</f>
        <v>501</v>
      </c>
      <c r="K4168" t="str">
        <f>"20210608"</f>
        <v>20210608</v>
      </c>
      <c r="L4168" t="s">
        <v>18</v>
      </c>
      <c r="M4168" t="str">
        <f>"20200708"</f>
        <v>20200708</v>
      </c>
    </row>
    <row r="4169" spans="1:13" x14ac:dyDescent="0.25">
      <c r="A4169" t="str">
        <f>"00256889"</f>
        <v>00256889</v>
      </c>
      <c r="B4169" t="s">
        <v>2766</v>
      </c>
      <c r="C4169" t="s">
        <v>2767</v>
      </c>
      <c r="D4169" t="s">
        <v>121</v>
      </c>
      <c r="E4169" t="s">
        <v>26</v>
      </c>
      <c r="F4169" t="s">
        <v>34</v>
      </c>
      <c r="G4169" t="str">
        <f>"11"</f>
        <v>11</v>
      </c>
      <c r="H4169" t="str">
        <f>"1  "</f>
        <v xml:space="preserve">1  </v>
      </c>
      <c r="I4169" t="str">
        <f>"2020/09/22"</f>
        <v>2020/09/22</v>
      </c>
      <c r="J4169" t="str">
        <f>"110"</f>
        <v>110</v>
      </c>
      <c r="K4169" t="str">
        <f>"20201212"</f>
        <v>20201212</v>
      </c>
      <c r="L4169" t="s">
        <v>18</v>
      </c>
      <c r="M4169" t="str">
        <f>"20200922"</f>
        <v>20200922</v>
      </c>
    </row>
    <row r="4170" spans="1:13" x14ac:dyDescent="0.25">
      <c r="A4170" t="str">
        <f>"00903767"</f>
        <v>00903767</v>
      </c>
      <c r="B4170" t="s">
        <v>2991</v>
      </c>
      <c r="C4170" t="s">
        <v>2992</v>
      </c>
      <c r="D4170" t="s">
        <v>25</v>
      </c>
      <c r="E4170" t="s">
        <v>15</v>
      </c>
      <c r="F4170" t="s">
        <v>34</v>
      </c>
      <c r="G4170" t="str">
        <f>"11"</f>
        <v>11</v>
      </c>
      <c r="H4170" t="str">
        <f>"3  "</f>
        <v xml:space="preserve">3  </v>
      </c>
      <c r="I4170" t="str">
        <f>"2020/08/26"</f>
        <v>2020/08/26</v>
      </c>
      <c r="J4170" t="str">
        <f>"501"</f>
        <v>501</v>
      </c>
      <c r="K4170" t="str">
        <f>"20201220"</f>
        <v>20201220</v>
      </c>
      <c r="L4170" t="s">
        <v>18</v>
      </c>
      <c r="M4170" t="str">
        <f>"20190405"</f>
        <v>20190405</v>
      </c>
    </row>
    <row r="4171" spans="1:13" x14ac:dyDescent="0.25">
      <c r="A4171" t="str">
        <f>"00630751"</f>
        <v>00630751</v>
      </c>
      <c r="B4171" t="s">
        <v>3191</v>
      </c>
      <c r="C4171" t="s">
        <v>3199</v>
      </c>
      <c r="D4171" t="s">
        <v>25</v>
      </c>
      <c r="E4171" t="s">
        <v>26</v>
      </c>
      <c r="F4171" t="s">
        <v>34</v>
      </c>
      <c r="G4171" t="str">
        <f>"11"</f>
        <v>11</v>
      </c>
      <c r="H4171" t="str">
        <f>"1  "</f>
        <v xml:space="preserve">1  </v>
      </c>
      <c r="I4171" t="str">
        <f>"2020/09/16"</f>
        <v>2020/09/16</v>
      </c>
      <c r="J4171" t="str">
        <f>"501"</f>
        <v>501</v>
      </c>
      <c r="K4171" t="str">
        <f>"20210705"</f>
        <v>20210705</v>
      </c>
      <c r="L4171" t="s">
        <v>18</v>
      </c>
      <c r="M4171" t="str">
        <f>"20200828"</f>
        <v>20200828</v>
      </c>
    </row>
    <row r="4172" spans="1:13" x14ac:dyDescent="0.25">
      <c r="A4172" t="str">
        <f>"00661061"</f>
        <v>00661061</v>
      </c>
      <c r="B4172" t="s">
        <v>3272</v>
      </c>
      <c r="C4172" t="s">
        <v>116</v>
      </c>
      <c r="D4172" t="s">
        <v>25</v>
      </c>
      <c r="E4172" t="s">
        <v>16</v>
      </c>
      <c r="F4172" t="s">
        <v>34</v>
      </c>
      <c r="G4172" t="str">
        <f>"11"</f>
        <v>11</v>
      </c>
      <c r="H4172" t="str">
        <f>"1  "</f>
        <v xml:space="preserve">1  </v>
      </c>
      <c r="I4172" t="str">
        <f>"2020/09/16"</f>
        <v>2020/09/16</v>
      </c>
      <c r="J4172" t="str">
        <f>"501"</f>
        <v>501</v>
      </c>
      <c r="K4172" t="str">
        <f>"20210705"</f>
        <v>20210705</v>
      </c>
      <c r="L4172" t="s">
        <v>18</v>
      </c>
      <c r="M4172" t="str">
        <f>"20200828"</f>
        <v>20200828</v>
      </c>
    </row>
    <row r="4173" spans="1:13" x14ac:dyDescent="0.25">
      <c r="A4173" t="str">
        <f>"00331174"</f>
        <v>00331174</v>
      </c>
      <c r="B4173" t="s">
        <v>3278</v>
      </c>
      <c r="C4173" t="s">
        <v>3279</v>
      </c>
      <c r="D4173" t="s">
        <v>51</v>
      </c>
      <c r="E4173" t="s">
        <v>16</v>
      </c>
      <c r="F4173" t="s">
        <v>34</v>
      </c>
      <c r="G4173" t="str">
        <f>"11"</f>
        <v>11</v>
      </c>
      <c r="H4173" t="str">
        <f>"1  "</f>
        <v xml:space="preserve">1  </v>
      </c>
      <c r="I4173" t="str">
        <f>"2020/09/16"</f>
        <v>2020/09/16</v>
      </c>
      <c r="J4173" t="str">
        <f>"501"</f>
        <v>501</v>
      </c>
      <c r="K4173" t="str">
        <f>"20210117"</f>
        <v>20210117</v>
      </c>
      <c r="L4173" t="s">
        <v>18</v>
      </c>
      <c r="M4173" t="str">
        <f>"20200730"</f>
        <v>20200730</v>
      </c>
    </row>
    <row r="4174" spans="1:13" x14ac:dyDescent="0.25">
      <c r="A4174" t="str">
        <f>"00614862"</f>
        <v>00614862</v>
      </c>
      <c r="B4174" t="s">
        <v>3514</v>
      </c>
      <c r="C4174" t="s">
        <v>1054</v>
      </c>
      <c r="D4174" t="s">
        <v>53</v>
      </c>
      <c r="E4174" t="s">
        <v>16</v>
      </c>
      <c r="F4174" t="s">
        <v>34</v>
      </c>
      <c r="G4174" t="str">
        <f>"11"</f>
        <v>11</v>
      </c>
      <c r="H4174" t="str">
        <f>"1  "</f>
        <v xml:space="preserve">1  </v>
      </c>
      <c r="I4174" t="str">
        <f>"2020/02/05"</f>
        <v>2020/02/05</v>
      </c>
      <c r="J4174" t="str">
        <f>"501"</f>
        <v>501</v>
      </c>
      <c r="K4174" t="str">
        <f>"20201117"</f>
        <v>20201117</v>
      </c>
      <c r="L4174" t="s">
        <v>18</v>
      </c>
      <c r="M4174" t="str">
        <f>"20200116"</f>
        <v>20200116</v>
      </c>
    </row>
    <row r="4175" spans="1:13" x14ac:dyDescent="0.25">
      <c r="A4175" t="str">
        <f>"00647184"</f>
        <v>00647184</v>
      </c>
      <c r="B4175" t="s">
        <v>3620</v>
      </c>
      <c r="C4175" t="s">
        <v>126</v>
      </c>
      <c r="D4175" t="s">
        <v>51</v>
      </c>
      <c r="E4175" t="s">
        <v>16</v>
      </c>
      <c r="F4175" t="s">
        <v>34</v>
      </c>
      <c r="G4175" t="str">
        <f>"11"</f>
        <v>11</v>
      </c>
      <c r="H4175" t="str">
        <f>"1  "</f>
        <v xml:space="preserve">1  </v>
      </c>
      <c r="I4175" t="str">
        <f>"2020/06/17"</f>
        <v>2020/06/17</v>
      </c>
      <c r="J4175" t="str">
        <f>"501"</f>
        <v>501</v>
      </c>
      <c r="K4175" t="str">
        <f>"20201103"</f>
        <v>20201103</v>
      </c>
      <c r="L4175" t="s">
        <v>18</v>
      </c>
      <c r="M4175" t="str">
        <f>"20200529"</f>
        <v>20200529</v>
      </c>
    </row>
    <row r="4176" spans="1:13" x14ac:dyDescent="0.25">
      <c r="A4176" t="str">
        <f>"00521171"</f>
        <v>00521171</v>
      </c>
      <c r="B4176" t="s">
        <v>3807</v>
      </c>
      <c r="C4176" t="s">
        <v>808</v>
      </c>
      <c r="D4176" t="s">
        <v>61</v>
      </c>
      <c r="E4176" t="s">
        <v>16</v>
      </c>
      <c r="F4176" t="s">
        <v>34</v>
      </c>
      <c r="G4176" t="str">
        <f>"11"</f>
        <v>11</v>
      </c>
      <c r="H4176" t="str">
        <f>"1  "</f>
        <v xml:space="preserve">1  </v>
      </c>
      <c r="I4176" t="str">
        <f>"2020/08/18"</f>
        <v>2020/08/18</v>
      </c>
      <c r="J4176" t="str">
        <f>"110"</f>
        <v>110</v>
      </c>
      <c r="K4176" t="str">
        <f>"20201124"</f>
        <v>20201124</v>
      </c>
      <c r="L4176" t="s">
        <v>18</v>
      </c>
      <c r="M4176" t="str">
        <f>"20200616"</f>
        <v>20200616</v>
      </c>
    </row>
    <row r="4177" spans="1:13" x14ac:dyDescent="0.25">
      <c r="A4177" t="str">
        <f>"00568946"</f>
        <v>00568946</v>
      </c>
      <c r="B4177" t="s">
        <v>3847</v>
      </c>
      <c r="C4177" t="s">
        <v>3848</v>
      </c>
      <c r="D4177" t="s">
        <v>51</v>
      </c>
      <c r="E4177" t="s">
        <v>26</v>
      </c>
      <c r="F4177" t="s">
        <v>34</v>
      </c>
      <c r="G4177" t="str">
        <f>"11"</f>
        <v>11</v>
      </c>
      <c r="H4177" t="str">
        <f>"1  "</f>
        <v xml:space="preserve">1  </v>
      </c>
      <c r="I4177" t="str">
        <f>"2020/09/16"</f>
        <v>2020/09/16</v>
      </c>
      <c r="J4177" t="str">
        <f>"501"</f>
        <v>501</v>
      </c>
      <c r="K4177" t="str">
        <f>"20210213"</f>
        <v>20210213</v>
      </c>
      <c r="L4177" t="s">
        <v>18</v>
      </c>
      <c r="M4177" t="str">
        <f>"20200904"</f>
        <v>20200904</v>
      </c>
    </row>
    <row r="4178" spans="1:13" x14ac:dyDescent="0.25">
      <c r="A4178" t="str">
        <f>"00869377"</f>
        <v>00869377</v>
      </c>
      <c r="B4178" t="s">
        <v>3981</v>
      </c>
      <c r="C4178" t="s">
        <v>3982</v>
      </c>
      <c r="D4178" t="s">
        <v>73</v>
      </c>
      <c r="E4178" t="s">
        <v>16</v>
      </c>
      <c r="F4178" t="s">
        <v>34</v>
      </c>
      <c r="G4178" t="str">
        <f>"11"</f>
        <v>11</v>
      </c>
      <c r="H4178" t="str">
        <f>"1  "</f>
        <v xml:space="preserve">1  </v>
      </c>
      <c r="I4178" t="str">
        <f>"2020/07/07"</f>
        <v>2020/07/07</v>
      </c>
      <c r="J4178" t="str">
        <f>"501"</f>
        <v>501</v>
      </c>
      <c r="K4178" t="str">
        <f>"20210217"</f>
        <v>20210217</v>
      </c>
      <c r="L4178" t="s">
        <v>18</v>
      </c>
      <c r="M4178" t="str">
        <f>"20200416"</f>
        <v>20200416</v>
      </c>
    </row>
    <row r="4179" spans="1:13" x14ac:dyDescent="0.25">
      <c r="A4179" t="str">
        <f>"00549545"</f>
        <v>00549545</v>
      </c>
      <c r="B4179" t="s">
        <v>4009</v>
      </c>
      <c r="C4179" t="s">
        <v>4010</v>
      </c>
      <c r="D4179" t="s">
        <v>25</v>
      </c>
      <c r="E4179" t="s">
        <v>26</v>
      </c>
      <c r="F4179" t="s">
        <v>34</v>
      </c>
      <c r="G4179" t="str">
        <f>"11"</f>
        <v>11</v>
      </c>
      <c r="H4179" t="str">
        <f>"3  "</f>
        <v xml:space="preserve">3  </v>
      </c>
      <c r="I4179" t="str">
        <f>"2020/07/01"</f>
        <v>2020/07/01</v>
      </c>
      <c r="J4179" t="str">
        <f>"501"</f>
        <v>501</v>
      </c>
      <c r="K4179" t="str">
        <f>"20201020"</f>
        <v>20201020</v>
      </c>
      <c r="L4179" t="s">
        <v>18</v>
      </c>
      <c r="M4179" t="str">
        <f>"20050523"</f>
        <v>20050523</v>
      </c>
    </row>
    <row r="4180" spans="1:13" x14ac:dyDescent="0.25">
      <c r="A4180" t="str">
        <f>"00177858"</f>
        <v>00177858</v>
      </c>
      <c r="B4180" t="s">
        <v>67</v>
      </c>
      <c r="C4180" t="s">
        <v>68</v>
      </c>
      <c r="D4180" t="s">
        <v>61</v>
      </c>
      <c r="E4180" t="s">
        <v>16</v>
      </c>
      <c r="F4180" t="s">
        <v>17</v>
      </c>
      <c r="G4180" t="str">
        <f>"12"</f>
        <v>12</v>
      </c>
      <c r="H4180" t="str">
        <f>"0  "</f>
        <v xml:space="preserve">0  </v>
      </c>
      <c r="I4180" t="str">
        <f>"2020/09/17"</f>
        <v>2020/09/17</v>
      </c>
      <c r="J4180" t="str">
        <f>"503"</f>
        <v>503</v>
      </c>
      <c r="K4180" t="s">
        <v>18</v>
      </c>
      <c r="L4180" t="s">
        <v>18</v>
      </c>
      <c r="M4180" t="s">
        <v>18</v>
      </c>
    </row>
    <row r="4181" spans="1:13" x14ac:dyDescent="0.25">
      <c r="A4181" t="str">
        <f>"00534598"</f>
        <v>00534598</v>
      </c>
      <c r="B4181" t="s">
        <v>153</v>
      </c>
      <c r="C4181" t="s">
        <v>166</v>
      </c>
      <c r="D4181" t="s">
        <v>61</v>
      </c>
      <c r="E4181" t="s">
        <v>26</v>
      </c>
      <c r="F4181" t="s">
        <v>17</v>
      </c>
      <c r="G4181" t="str">
        <f>"12"</f>
        <v>12</v>
      </c>
      <c r="H4181" t="str">
        <f>"1  "</f>
        <v xml:space="preserve">1  </v>
      </c>
      <c r="I4181" t="str">
        <f>"2020/06/12"</f>
        <v>2020/06/12</v>
      </c>
      <c r="J4181" t="str">
        <f>"502"</f>
        <v>502</v>
      </c>
      <c r="K4181" t="str">
        <f>"20210130"</f>
        <v>20210130</v>
      </c>
      <c r="L4181" t="s">
        <v>18</v>
      </c>
      <c r="M4181" t="str">
        <f>"20200609"</f>
        <v>20200609</v>
      </c>
    </row>
    <row r="4182" spans="1:13" x14ac:dyDescent="0.25">
      <c r="A4182" t="str">
        <f>"00258815"</f>
        <v>00258815</v>
      </c>
      <c r="B4182" t="s">
        <v>242</v>
      </c>
      <c r="C4182" t="s">
        <v>250</v>
      </c>
      <c r="D4182" t="s">
        <v>51</v>
      </c>
      <c r="E4182" t="s">
        <v>26</v>
      </c>
      <c r="F4182" t="s">
        <v>17</v>
      </c>
      <c r="G4182" t="str">
        <f>"12"</f>
        <v>12</v>
      </c>
      <c r="H4182" t="str">
        <f>"1  "</f>
        <v xml:space="preserve">1  </v>
      </c>
      <c r="I4182" t="str">
        <f>"2020/09/15"</f>
        <v>2020/09/15</v>
      </c>
      <c r="J4182" t="str">
        <f>"110"</f>
        <v>110</v>
      </c>
      <c r="K4182" t="str">
        <f>"20201113"</f>
        <v>20201113</v>
      </c>
      <c r="L4182" t="s">
        <v>18</v>
      </c>
      <c r="M4182" t="str">
        <f>"20200915"</f>
        <v>20200915</v>
      </c>
    </row>
    <row r="4183" spans="1:13" x14ac:dyDescent="0.25">
      <c r="A4183" t="str">
        <f>"00693024"</f>
        <v>00693024</v>
      </c>
      <c r="B4183" t="s">
        <v>299</v>
      </c>
      <c r="C4183" t="s">
        <v>55</v>
      </c>
      <c r="D4183" t="s">
        <v>51</v>
      </c>
      <c r="E4183" t="s">
        <v>16</v>
      </c>
      <c r="F4183" t="s">
        <v>17</v>
      </c>
      <c r="G4183" t="str">
        <f>"12"</f>
        <v>12</v>
      </c>
      <c r="H4183" t="str">
        <f>"0  "</f>
        <v xml:space="preserve">0  </v>
      </c>
      <c r="I4183" t="str">
        <f>"2020/08/28"</f>
        <v>2020/08/28</v>
      </c>
      <c r="J4183" t="str">
        <f>"420"</f>
        <v>420</v>
      </c>
      <c r="K4183" t="s">
        <v>18</v>
      </c>
      <c r="L4183" t="s">
        <v>18</v>
      </c>
      <c r="M4183" t="s">
        <v>18</v>
      </c>
    </row>
    <row r="4184" spans="1:13" x14ac:dyDescent="0.25">
      <c r="A4184" t="str">
        <f>"00302911"</f>
        <v>00302911</v>
      </c>
      <c r="B4184" t="s">
        <v>301</v>
      </c>
      <c r="C4184" t="s">
        <v>302</v>
      </c>
      <c r="D4184" t="s">
        <v>97</v>
      </c>
      <c r="E4184" t="s">
        <v>26</v>
      </c>
      <c r="F4184" t="s">
        <v>17</v>
      </c>
      <c r="G4184" t="str">
        <f>"12"</f>
        <v>12</v>
      </c>
      <c r="H4184" t="str">
        <f>"0  "</f>
        <v xml:space="preserve">0  </v>
      </c>
      <c r="I4184" t="str">
        <f>"2020/09/22"</f>
        <v>2020/09/22</v>
      </c>
      <c r="J4184" t="str">
        <f>"420"</f>
        <v>420</v>
      </c>
      <c r="K4184" t="s">
        <v>18</v>
      </c>
      <c r="L4184" t="s">
        <v>18</v>
      </c>
      <c r="M4184" t="s">
        <v>18</v>
      </c>
    </row>
    <row r="4185" spans="1:13" x14ac:dyDescent="0.25">
      <c r="A4185" t="str">
        <f>"00170649"</f>
        <v>00170649</v>
      </c>
      <c r="B4185" t="s">
        <v>368</v>
      </c>
      <c r="C4185" t="s">
        <v>369</v>
      </c>
      <c r="D4185" t="s">
        <v>45</v>
      </c>
      <c r="E4185" t="s">
        <v>26</v>
      </c>
      <c r="F4185" t="s">
        <v>17</v>
      </c>
      <c r="G4185" t="str">
        <f>"12"</f>
        <v>12</v>
      </c>
      <c r="H4185" t="str">
        <f>"0  "</f>
        <v xml:space="preserve">0  </v>
      </c>
      <c r="I4185" t="str">
        <f>"2020/09/17"</f>
        <v>2020/09/17</v>
      </c>
      <c r="J4185" t="str">
        <f>"503"</f>
        <v>503</v>
      </c>
      <c r="K4185" t="s">
        <v>18</v>
      </c>
      <c r="L4185" t="s">
        <v>18</v>
      </c>
      <c r="M4185" t="s">
        <v>18</v>
      </c>
    </row>
    <row r="4186" spans="1:13" x14ac:dyDescent="0.25">
      <c r="A4186" t="str">
        <f>"00563796"</f>
        <v>00563796</v>
      </c>
      <c r="B4186" t="s">
        <v>383</v>
      </c>
      <c r="C4186" t="s">
        <v>135</v>
      </c>
      <c r="D4186" t="s">
        <v>31</v>
      </c>
      <c r="E4186" t="s">
        <v>26</v>
      </c>
      <c r="F4186" t="s">
        <v>17</v>
      </c>
      <c r="G4186" t="str">
        <f>"12"</f>
        <v>12</v>
      </c>
      <c r="H4186" t="str">
        <f>"1  "</f>
        <v xml:space="preserve">1  </v>
      </c>
      <c r="I4186" t="str">
        <f>"2020/09/15"</f>
        <v>2020/09/15</v>
      </c>
      <c r="J4186" t="str">
        <f>"110"</f>
        <v>110</v>
      </c>
      <c r="K4186" t="s">
        <v>18</v>
      </c>
      <c r="L4186" t="s">
        <v>18</v>
      </c>
      <c r="M4186" t="s">
        <v>18</v>
      </c>
    </row>
    <row r="4187" spans="1:13" x14ac:dyDescent="0.25">
      <c r="A4187" t="str">
        <f>"00712663"</f>
        <v>00712663</v>
      </c>
      <c r="B4187" t="s">
        <v>386</v>
      </c>
      <c r="C4187" t="s">
        <v>387</v>
      </c>
      <c r="D4187" t="s">
        <v>25</v>
      </c>
      <c r="E4187" t="s">
        <v>26</v>
      </c>
      <c r="F4187" t="s">
        <v>17</v>
      </c>
      <c r="G4187" t="str">
        <f>"12"</f>
        <v>12</v>
      </c>
      <c r="H4187" t="str">
        <f>"1  "</f>
        <v xml:space="preserve">1  </v>
      </c>
      <c r="I4187" t="str">
        <f>"2020/09/10"</f>
        <v>2020/09/10</v>
      </c>
      <c r="J4187" t="str">
        <f>"503"</f>
        <v>503</v>
      </c>
      <c r="K4187" t="str">
        <f>"20210218"</f>
        <v>20210218</v>
      </c>
      <c r="L4187" t="s">
        <v>18</v>
      </c>
      <c r="M4187" t="str">
        <f>"20200909"</f>
        <v>20200909</v>
      </c>
    </row>
    <row r="4188" spans="1:13" x14ac:dyDescent="0.25">
      <c r="A4188" t="str">
        <f>"00446105"</f>
        <v>00446105</v>
      </c>
      <c r="B4188" t="s">
        <v>498</v>
      </c>
      <c r="C4188" t="s">
        <v>250</v>
      </c>
      <c r="D4188" t="s">
        <v>25</v>
      </c>
      <c r="E4188" t="s">
        <v>26</v>
      </c>
      <c r="F4188" t="s">
        <v>17</v>
      </c>
      <c r="G4188" t="str">
        <f>"12"</f>
        <v>12</v>
      </c>
      <c r="H4188" t="str">
        <f>"3  "</f>
        <v xml:space="preserve">3  </v>
      </c>
      <c r="I4188" t="str">
        <f>"2020/09/22"</f>
        <v>2020/09/22</v>
      </c>
      <c r="J4188" t="str">
        <f>"503"</f>
        <v>503</v>
      </c>
      <c r="K4188" t="str">
        <f>"20210122"</f>
        <v>20210122</v>
      </c>
      <c r="L4188" t="s">
        <v>18</v>
      </c>
      <c r="M4188" t="str">
        <f>"20180804"</f>
        <v>20180804</v>
      </c>
    </row>
    <row r="4189" spans="1:13" x14ac:dyDescent="0.25">
      <c r="A4189" t="str">
        <f>"00453212"</f>
        <v>00453212</v>
      </c>
      <c r="B4189" t="s">
        <v>533</v>
      </c>
      <c r="C4189" t="s">
        <v>44</v>
      </c>
      <c r="D4189" t="s">
        <v>40</v>
      </c>
      <c r="E4189" t="s">
        <v>16</v>
      </c>
      <c r="F4189" t="s">
        <v>17</v>
      </c>
      <c r="G4189" t="str">
        <f>"12"</f>
        <v>12</v>
      </c>
      <c r="H4189" t="str">
        <f>"0  "</f>
        <v xml:space="preserve">0  </v>
      </c>
      <c r="I4189" t="str">
        <f>"2020/09/16"</f>
        <v>2020/09/16</v>
      </c>
      <c r="J4189" t="str">
        <f>"420"</f>
        <v>420</v>
      </c>
      <c r="K4189" t="s">
        <v>18</v>
      </c>
      <c r="L4189" t="s">
        <v>18</v>
      </c>
      <c r="M4189" t="s">
        <v>18</v>
      </c>
    </row>
    <row r="4190" spans="1:13" x14ac:dyDescent="0.25">
      <c r="A4190" t="str">
        <f>"00584026"</f>
        <v>00584026</v>
      </c>
      <c r="B4190" t="s">
        <v>548</v>
      </c>
      <c r="C4190" t="s">
        <v>169</v>
      </c>
      <c r="D4190" t="s">
        <v>61</v>
      </c>
      <c r="E4190" t="s">
        <v>16</v>
      </c>
      <c r="F4190" t="s">
        <v>17</v>
      </c>
      <c r="G4190" t="str">
        <f>"12"</f>
        <v>12</v>
      </c>
      <c r="H4190" t="str">
        <f>"1  "</f>
        <v xml:space="preserve">1  </v>
      </c>
      <c r="I4190" t="str">
        <f>"2020/06/23"</f>
        <v>2020/06/23</v>
      </c>
      <c r="J4190" t="str">
        <f>"505"</f>
        <v>505</v>
      </c>
      <c r="K4190" t="str">
        <f>"20210412"</f>
        <v>20210412</v>
      </c>
      <c r="L4190" t="s">
        <v>18</v>
      </c>
      <c r="M4190" t="str">
        <f>"20200512"</f>
        <v>20200512</v>
      </c>
    </row>
    <row r="4191" spans="1:13" x14ac:dyDescent="0.25">
      <c r="A4191" t="str">
        <f>"00302478"</f>
        <v>00302478</v>
      </c>
      <c r="B4191" t="s">
        <v>598</v>
      </c>
      <c r="C4191" t="s">
        <v>599</v>
      </c>
      <c r="D4191" t="s">
        <v>37</v>
      </c>
      <c r="E4191" t="s">
        <v>26</v>
      </c>
      <c r="F4191" t="s">
        <v>17</v>
      </c>
      <c r="G4191" t="str">
        <f>"12"</f>
        <v>12</v>
      </c>
      <c r="H4191" t="str">
        <f>"1  "</f>
        <v xml:space="preserve">1  </v>
      </c>
      <c r="I4191" t="str">
        <f>"2020/08/19"</f>
        <v>2020/08/19</v>
      </c>
      <c r="J4191" t="str">
        <f>"110"</f>
        <v>110</v>
      </c>
      <c r="K4191" t="str">
        <f>"20201205"</f>
        <v>20201205</v>
      </c>
      <c r="L4191" t="s">
        <v>18</v>
      </c>
      <c r="M4191" t="str">
        <f>"20200819"</f>
        <v>20200819</v>
      </c>
    </row>
    <row r="4192" spans="1:13" x14ac:dyDescent="0.25">
      <c r="A4192" t="str">
        <f>"00347839"</f>
        <v>00347839</v>
      </c>
      <c r="B4192" t="s">
        <v>634</v>
      </c>
      <c r="C4192" t="s">
        <v>136</v>
      </c>
      <c r="D4192" t="s">
        <v>15</v>
      </c>
      <c r="E4192" t="s">
        <v>26</v>
      </c>
      <c r="F4192" t="s">
        <v>17</v>
      </c>
      <c r="G4192" t="str">
        <f>"12"</f>
        <v>12</v>
      </c>
      <c r="H4192" t="str">
        <f>"1  "</f>
        <v xml:space="preserve">1  </v>
      </c>
      <c r="I4192" t="str">
        <f>"2020/09/22"</f>
        <v>2020/09/22</v>
      </c>
      <c r="J4192" t="str">
        <f>"502"</f>
        <v>502</v>
      </c>
      <c r="K4192" t="str">
        <f>"20210112"</f>
        <v>20210112</v>
      </c>
      <c r="L4192" t="s">
        <v>18</v>
      </c>
      <c r="M4192" t="str">
        <f>"20200730"</f>
        <v>20200730</v>
      </c>
    </row>
    <row r="4193" spans="1:13" x14ac:dyDescent="0.25">
      <c r="A4193" t="str">
        <f>"00301971"</f>
        <v>00301971</v>
      </c>
      <c r="B4193" t="s">
        <v>634</v>
      </c>
      <c r="C4193" t="s">
        <v>641</v>
      </c>
      <c r="D4193" t="s">
        <v>40</v>
      </c>
      <c r="E4193" t="s">
        <v>26</v>
      </c>
      <c r="F4193" t="s">
        <v>17</v>
      </c>
      <c r="G4193" t="str">
        <f>"12"</f>
        <v>12</v>
      </c>
      <c r="H4193" t="str">
        <f>"3  "</f>
        <v xml:space="preserve">3  </v>
      </c>
      <c r="I4193" t="str">
        <f>"2020/09/21"</f>
        <v>2020/09/21</v>
      </c>
      <c r="J4193" t="str">
        <f>"502"</f>
        <v>502</v>
      </c>
      <c r="K4193" t="str">
        <f>"20220919"</f>
        <v>20220919</v>
      </c>
      <c r="L4193" t="s">
        <v>18</v>
      </c>
      <c r="M4193" t="str">
        <f>"20200921"</f>
        <v>20200921</v>
      </c>
    </row>
    <row r="4194" spans="1:13" x14ac:dyDescent="0.25">
      <c r="A4194" t="str">
        <f>"00474357"</f>
        <v>00474357</v>
      </c>
      <c r="B4194" t="s">
        <v>720</v>
      </c>
      <c r="C4194" t="s">
        <v>320</v>
      </c>
      <c r="D4194" t="s">
        <v>25</v>
      </c>
      <c r="E4194" t="s">
        <v>26</v>
      </c>
      <c r="F4194" t="s">
        <v>17</v>
      </c>
      <c r="G4194" t="str">
        <f>"12"</f>
        <v>12</v>
      </c>
      <c r="H4194" t="str">
        <f>"1  "</f>
        <v xml:space="preserve">1  </v>
      </c>
      <c r="I4194" t="str">
        <f>"2020/07/29"</f>
        <v>2020/07/29</v>
      </c>
      <c r="J4194" t="str">
        <f>"503"</f>
        <v>503</v>
      </c>
      <c r="K4194" t="str">
        <f>"20210226"</f>
        <v>20210226</v>
      </c>
      <c r="L4194" t="s">
        <v>18</v>
      </c>
      <c r="M4194" t="str">
        <f>"20200407"</f>
        <v>20200407</v>
      </c>
    </row>
    <row r="4195" spans="1:13" x14ac:dyDescent="0.25">
      <c r="A4195" t="str">
        <f>"00910955"</f>
        <v>00910955</v>
      </c>
      <c r="B4195" t="s">
        <v>747</v>
      </c>
      <c r="C4195" t="s">
        <v>125</v>
      </c>
      <c r="D4195" t="s">
        <v>61</v>
      </c>
      <c r="E4195" t="s">
        <v>16</v>
      </c>
      <c r="F4195" t="s">
        <v>17</v>
      </c>
      <c r="G4195" t="str">
        <f>"12"</f>
        <v>12</v>
      </c>
      <c r="H4195" t="str">
        <f>"1  "</f>
        <v xml:space="preserve">1  </v>
      </c>
      <c r="I4195" t="str">
        <f>"2020/09/08"</f>
        <v>2020/09/08</v>
      </c>
      <c r="J4195" t="str">
        <f>"510"</f>
        <v>510</v>
      </c>
      <c r="K4195" t="str">
        <f>"20201111"</f>
        <v>20201111</v>
      </c>
      <c r="L4195" t="s">
        <v>18</v>
      </c>
      <c r="M4195" t="str">
        <f>"20200820"</f>
        <v>20200820</v>
      </c>
    </row>
    <row r="4196" spans="1:13" x14ac:dyDescent="0.25">
      <c r="A4196" t="str">
        <f>"00604249"</f>
        <v>00604249</v>
      </c>
      <c r="B4196" t="s">
        <v>783</v>
      </c>
      <c r="C4196" t="s">
        <v>784</v>
      </c>
      <c r="D4196" t="s">
        <v>25</v>
      </c>
      <c r="E4196" t="s">
        <v>26</v>
      </c>
      <c r="F4196" t="s">
        <v>17</v>
      </c>
      <c r="G4196" t="str">
        <f>"12"</f>
        <v>12</v>
      </c>
      <c r="H4196" t="str">
        <f>"1  "</f>
        <v xml:space="preserve">1  </v>
      </c>
      <c r="I4196" t="str">
        <f>"2020/09/17"</f>
        <v>2020/09/17</v>
      </c>
      <c r="J4196" t="str">
        <f>"110"</f>
        <v>110</v>
      </c>
      <c r="K4196" t="str">
        <f>"20201014"</f>
        <v>20201014</v>
      </c>
      <c r="L4196" t="s">
        <v>18</v>
      </c>
      <c r="M4196" t="str">
        <f>"20200917"</f>
        <v>20200917</v>
      </c>
    </row>
    <row r="4197" spans="1:13" x14ac:dyDescent="0.25">
      <c r="A4197" t="str">
        <f>"00318605"</f>
        <v>00318605</v>
      </c>
      <c r="B4197" t="s">
        <v>859</v>
      </c>
      <c r="C4197" t="s">
        <v>860</v>
      </c>
      <c r="D4197" t="s">
        <v>73</v>
      </c>
      <c r="E4197" t="s">
        <v>26</v>
      </c>
      <c r="F4197" t="s">
        <v>17</v>
      </c>
      <c r="G4197" t="str">
        <f>"12"</f>
        <v>12</v>
      </c>
      <c r="H4197" t="str">
        <f>"1  "</f>
        <v xml:space="preserve">1  </v>
      </c>
      <c r="I4197" t="str">
        <f>"2020/08/20"</f>
        <v>2020/08/20</v>
      </c>
      <c r="J4197" t="str">
        <f>"502"</f>
        <v>502</v>
      </c>
      <c r="K4197" t="str">
        <f>"20210113"</f>
        <v>20210113</v>
      </c>
      <c r="L4197" t="s">
        <v>18</v>
      </c>
      <c r="M4197" t="str">
        <f>"20200803"</f>
        <v>20200803</v>
      </c>
    </row>
    <row r="4198" spans="1:13" x14ac:dyDescent="0.25">
      <c r="A4198" t="str">
        <f>"00695437"</f>
        <v>00695437</v>
      </c>
      <c r="B4198" t="s">
        <v>869</v>
      </c>
      <c r="C4198" t="s">
        <v>870</v>
      </c>
      <c r="D4198" t="s">
        <v>15</v>
      </c>
      <c r="E4198" t="s">
        <v>26</v>
      </c>
      <c r="F4198" t="s">
        <v>17</v>
      </c>
      <c r="G4198" t="str">
        <f>"12"</f>
        <v>12</v>
      </c>
      <c r="H4198" t="str">
        <f>"1  "</f>
        <v xml:space="preserve">1  </v>
      </c>
      <c r="I4198" t="str">
        <f>"2020/09/22"</f>
        <v>2020/09/22</v>
      </c>
      <c r="J4198" t="str">
        <f>"503"</f>
        <v>503</v>
      </c>
      <c r="K4198" t="str">
        <f>"20210331"</f>
        <v>20210331</v>
      </c>
      <c r="L4198" t="s">
        <v>18</v>
      </c>
      <c r="M4198" t="str">
        <f>"20200917"</f>
        <v>20200917</v>
      </c>
    </row>
    <row r="4199" spans="1:13" x14ac:dyDescent="0.25">
      <c r="A4199" t="str">
        <f>"00274972"</f>
        <v>00274972</v>
      </c>
      <c r="B4199" t="s">
        <v>970</v>
      </c>
      <c r="C4199" t="s">
        <v>74</v>
      </c>
      <c r="D4199" t="s">
        <v>15</v>
      </c>
      <c r="E4199" t="s">
        <v>16</v>
      </c>
      <c r="F4199" t="s">
        <v>17</v>
      </c>
      <c r="G4199" t="str">
        <f>"12"</f>
        <v>12</v>
      </c>
      <c r="H4199" t="str">
        <f>"0  "</f>
        <v xml:space="preserve">0  </v>
      </c>
      <c r="I4199" t="str">
        <f>"2020/09/22"</f>
        <v>2020/09/22</v>
      </c>
      <c r="J4199" t="str">
        <f>"503"</f>
        <v>503</v>
      </c>
      <c r="K4199" t="s">
        <v>18</v>
      </c>
      <c r="L4199" t="s">
        <v>18</v>
      </c>
      <c r="M4199" t="s">
        <v>18</v>
      </c>
    </row>
    <row r="4200" spans="1:13" x14ac:dyDescent="0.25">
      <c r="A4200" t="str">
        <f>"00214394"</f>
        <v>00214394</v>
      </c>
      <c r="B4200" t="s">
        <v>1030</v>
      </c>
      <c r="C4200" t="s">
        <v>1031</v>
      </c>
      <c r="D4200" t="s">
        <v>51</v>
      </c>
      <c r="E4200" t="s">
        <v>26</v>
      </c>
      <c r="F4200" t="s">
        <v>17</v>
      </c>
      <c r="G4200" t="str">
        <f>"12"</f>
        <v>12</v>
      </c>
      <c r="H4200" t="str">
        <f>"0  "</f>
        <v xml:space="preserve">0  </v>
      </c>
      <c r="I4200" t="str">
        <f>"2020/09/11"</f>
        <v>2020/09/11</v>
      </c>
      <c r="J4200" t="str">
        <f>"510"</f>
        <v>510</v>
      </c>
      <c r="K4200" t="s">
        <v>18</v>
      </c>
      <c r="L4200" t="s">
        <v>18</v>
      </c>
      <c r="M4200" t="s">
        <v>18</v>
      </c>
    </row>
    <row r="4201" spans="1:13" x14ac:dyDescent="0.25">
      <c r="A4201" t="str">
        <f>"00585266"</f>
        <v>00585266</v>
      </c>
      <c r="B4201" t="s">
        <v>1040</v>
      </c>
      <c r="C4201" t="s">
        <v>1041</v>
      </c>
      <c r="D4201" t="s">
        <v>21</v>
      </c>
      <c r="E4201" t="s">
        <v>26</v>
      </c>
      <c r="F4201" t="s">
        <v>17</v>
      </c>
      <c r="G4201" t="str">
        <f>"12"</f>
        <v>12</v>
      </c>
      <c r="H4201" t="str">
        <f>"1  "</f>
        <v xml:space="preserve">1  </v>
      </c>
      <c r="I4201" t="str">
        <f>"2020/08/24"</f>
        <v>2020/08/24</v>
      </c>
      <c r="J4201" t="str">
        <f>"110"</f>
        <v>110</v>
      </c>
      <c r="K4201" t="str">
        <f>"20210211"</f>
        <v>20210211</v>
      </c>
      <c r="L4201" t="s">
        <v>18</v>
      </c>
      <c r="M4201" t="str">
        <f>"20200824"</f>
        <v>20200824</v>
      </c>
    </row>
    <row r="4202" spans="1:13" x14ac:dyDescent="0.25">
      <c r="A4202" t="str">
        <f>"00697544"</f>
        <v>00697544</v>
      </c>
      <c r="B4202" t="s">
        <v>1045</v>
      </c>
      <c r="C4202" t="s">
        <v>1028</v>
      </c>
      <c r="D4202" t="s">
        <v>25</v>
      </c>
      <c r="E4202" t="s">
        <v>26</v>
      </c>
      <c r="F4202" t="s">
        <v>17</v>
      </c>
      <c r="G4202" t="str">
        <f>"12"</f>
        <v>12</v>
      </c>
      <c r="H4202" t="str">
        <f>"1  "</f>
        <v xml:space="preserve">1  </v>
      </c>
      <c r="I4202" t="str">
        <f>"2020/05/28"</f>
        <v>2020/05/28</v>
      </c>
      <c r="J4202" t="str">
        <f>"502"</f>
        <v>502</v>
      </c>
      <c r="K4202" t="str">
        <f>"20201020"</f>
        <v>20201020</v>
      </c>
      <c r="L4202" t="s">
        <v>18</v>
      </c>
      <c r="M4202" t="str">
        <f>"20200528"</f>
        <v>20200528</v>
      </c>
    </row>
    <row r="4203" spans="1:13" x14ac:dyDescent="0.25">
      <c r="A4203" t="str">
        <f>"00765522"</f>
        <v>00765522</v>
      </c>
      <c r="B4203" t="s">
        <v>1106</v>
      </c>
      <c r="C4203" t="s">
        <v>860</v>
      </c>
      <c r="D4203" t="s">
        <v>61</v>
      </c>
      <c r="E4203" t="s">
        <v>26</v>
      </c>
      <c r="F4203" t="s">
        <v>17</v>
      </c>
      <c r="G4203" t="str">
        <f>"12"</f>
        <v>12</v>
      </c>
      <c r="H4203" t="str">
        <f>"0  "</f>
        <v xml:space="preserve">0  </v>
      </c>
      <c r="I4203" t="str">
        <f>"2020/09/15"</f>
        <v>2020/09/15</v>
      </c>
      <c r="J4203" t="str">
        <f>"420"</f>
        <v>420</v>
      </c>
      <c r="K4203" t="s">
        <v>18</v>
      </c>
      <c r="L4203" t="s">
        <v>18</v>
      </c>
      <c r="M4203" t="s">
        <v>18</v>
      </c>
    </row>
    <row r="4204" spans="1:13" x14ac:dyDescent="0.25">
      <c r="A4204" t="str">
        <f>"00554439"</f>
        <v>00554439</v>
      </c>
      <c r="B4204" t="s">
        <v>1114</v>
      </c>
      <c r="C4204" t="s">
        <v>313</v>
      </c>
      <c r="D4204" t="s">
        <v>51</v>
      </c>
      <c r="E4204" t="s">
        <v>16</v>
      </c>
      <c r="F4204" t="s">
        <v>17</v>
      </c>
      <c r="G4204" t="str">
        <f>"12"</f>
        <v>12</v>
      </c>
      <c r="H4204" t="str">
        <f>"3  "</f>
        <v xml:space="preserve">3  </v>
      </c>
      <c r="I4204" t="str">
        <f>"2020/09/24"</f>
        <v>2020/09/24</v>
      </c>
      <c r="J4204" t="str">
        <f>"110"</f>
        <v>110</v>
      </c>
      <c r="K4204" t="str">
        <f>"20230923"</f>
        <v>20230923</v>
      </c>
      <c r="L4204" t="s">
        <v>18</v>
      </c>
      <c r="M4204" t="str">
        <f>"20200924"</f>
        <v>20200924</v>
      </c>
    </row>
    <row r="4205" spans="1:13" x14ac:dyDescent="0.25">
      <c r="A4205" t="str">
        <f>"00532024"</f>
        <v>00532024</v>
      </c>
      <c r="B4205" t="s">
        <v>1122</v>
      </c>
      <c r="C4205" t="s">
        <v>44</v>
      </c>
      <c r="D4205" t="s">
        <v>51</v>
      </c>
      <c r="E4205" t="s">
        <v>16</v>
      </c>
      <c r="F4205" t="s">
        <v>17</v>
      </c>
      <c r="G4205" t="str">
        <f>"12"</f>
        <v>12</v>
      </c>
      <c r="H4205" t="str">
        <f>"3  "</f>
        <v xml:space="preserve">3  </v>
      </c>
      <c r="I4205" t="str">
        <f>"2020/09/03"</f>
        <v>2020/09/03</v>
      </c>
      <c r="J4205" t="str">
        <f>"503"</f>
        <v>503</v>
      </c>
      <c r="K4205" t="str">
        <f>"20211226"</f>
        <v>20211226</v>
      </c>
      <c r="L4205" t="s">
        <v>18</v>
      </c>
      <c r="M4205" t="str">
        <f>"20180808"</f>
        <v>20180808</v>
      </c>
    </row>
    <row r="4206" spans="1:13" x14ac:dyDescent="0.25">
      <c r="A4206" t="str">
        <f>"00600710"</f>
        <v>00600710</v>
      </c>
      <c r="B4206" t="s">
        <v>1151</v>
      </c>
      <c r="C4206" t="s">
        <v>44</v>
      </c>
      <c r="D4206" t="s">
        <v>47</v>
      </c>
      <c r="E4206" t="s">
        <v>16</v>
      </c>
      <c r="F4206" t="s">
        <v>17</v>
      </c>
      <c r="G4206" t="str">
        <f>"12"</f>
        <v>12</v>
      </c>
      <c r="H4206" t="str">
        <f>"1  "</f>
        <v xml:space="preserve">1  </v>
      </c>
      <c r="I4206" t="str">
        <f>"2020/09/09"</f>
        <v>2020/09/09</v>
      </c>
      <c r="J4206" t="str">
        <f>"120"</f>
        <v>120</v>
      </c>
      <c r="K4206" t="str">
        <f>"20210223"</f>
        <v>20210223</v>
      </c>
      <c r="L4206" t="s">
        <v>18</v>
      </c>
      <c r="M4206" t="str">
        <f>"20200908"</f>
        <v>20200908</v>
      </c>
    </row>
    <row r="4207" spans="1:13" x14ac:dyDescent="0.25">
      <c r="A4207" t="str">
        <f>"00257135"</f>
        <v>00257135</v>
      </c>
      <c r="B4207" t="s">
        <v>1257</v>
      </c>
      <c r="C4207" t="s">
        <v>1258</v>
      </c>
      <c r="D4207" t="s">
        <v>45</v>
      </c>
      <c r="E4207" t="s">
        <v>26</v>
      </c>
      <c r="F4207" t="s">
        <v>17</v>
      </c>
      <c r="G4207" t="str">
        <f>"12"</f>
        <v>12</v>
      </c>
      <c r="H4207" t="str">
        <f>"1  "</f>
        <v xml:space="preserve">1  </v>
      </c>
      <c r="I4207" t="str">
        <f>"2020/08/11"</f>
        <v>2020/08/11</v>
      </c>
      <c r="J4207" t="str">
        <f>"502"</f>
        <v>502</v>
      </c>
      <c r="K4207" t="str">
        <f>"20210630"</f>
        <v>20210630</v>
      </c>
      <c r="L4207" t="s">
        <v>18</v>
      </c>
      <c r="M4207" t="str">
        <f>"20200811"</f>
        <v>20200811</v>
      </c>
    </row>
    <row r="4208" spans="1:13" x14ac:dyDescent="0.25">
      <c r="A4208" t="str">
        <f>"00626067"</f>
        <v>00626067</v>
      </c>
      <c r="B4208" t="s">
        <v>1265</v>
      </c>
      <c r="C4208" t="s">
        <v>1240</v>
      </c>
      <c r="D4208" t="s">
        <v>45</v>
      </c>
      <c r="E4208" t="s">
        <v>26</v>
      </c>
      <c r="F4208" t="s">
        <v>17</v>
      </c>
      <c r="G4208" t="str">
        <f>"12"</f>
        <v>12</v>
      </c>
      <c r="H4208" t="str">
        <f>"1  "</f>
        <v xml:space="preserve">1  </v>
      </c>
      <c r="I4208" t="str">
        <f>"2020/08/28"</f>
        <v>2020/08/28</v>
      </c>
      <c r="J4208" t="str">
        <f>"110"</f>
        <v>110</v>
      </c>
      <c r="K4208" t="str">
        <f>"20201227"</f>
        <v>20201227</v>
      </c>
      <c r="L4208" t="s">
        <v>18</v>
      </c>
      <c r="M4208" t="str">
        <f>"20200709"</f>
        <v>20200709</v>
      </c>
    </row>
    <row r="4209" spans="1:13" x14ac:dyDescent="0.25">
      <c r="A4209" t="str">
        <f>"00665091"</f>
        <v>00665091</v>
      </c>
      <c r="B4209" t="s">
        <v>1284</v>
      </c>
      <c r="C4209" t="s">
        <v>1285</v>
      </c>
      <c r="D4209" t="s">
        <v>31</v>
      </c>
      <c r="E4209" t="s">
        <v>26</v>
      </c>
      <c r="F4209" t="s">
        <v>17</v>
      </c>
      <c r="G4209" t="str">
        <f>"12"</f>
        <v>12</v>
      </c>
      <c r="H4209" t="str">
        <f>"1  "</f>
        <v xml:space="preserve">1  </v>
      </c>
      <c r="I4209" t="str">
        <f>"2020/08/28"</f>
        <v>2020/08/28</v>
      </c>
      <c r="J4209" t="str">
        <f>"510"</f>
        <v>510</v>
      </c>
      <c r="K4209" t="str">
        <f>"20210424"</f>
        <v>20210424</v>
      </c>
      <c r="L4209" t="s">
        <v>18</v>
      </c>
      <c r="M4209" t="str">
        <f>"20200813"</f>
        <v>20200813</v>
      </c>
    </row>
    <row r="4210" spans="1:13" x14ac:dyDescent="0.25">
      <c r="A4210" t="str">
        <f>"00619665"</f>
        <v>00619665</v>
      </c>
      <c r="B4210" t="s">
        <v>1313</v>
      </c>
      <c r="C4210" t="s">
        <v>1314</v>
      </c>
      <c r="D4210" t="s">
        <v>61</v>
      </c>
      <c r="E4210" t="s">
        <v>26</v>
      </c>
      <c r="F4210" t="s">
        <v>17</v>
      </c>
      <c r="G4210" t="str">
        <f>"12"</f>
        <v>12</v>
      </c>
      <c r="H4210" t="str">
        <f>"0  "</f>
        <v xml:space="preserve">0  </v>
      </c>
      <c r="I4210" t="str">
        <f>"2020/09/08"</f>
        <v>2020/09/08</v>
      </c>
      <c r="J4210" t="str">
        <f>"420"</f>
        <v>420</v>
      </c>
      <c r="K4210" t="s">
        <v>18</v>
      </c>
      <c r="L4210" t="s">
        <v>18</v>
      </c>
      <c r="M4210" t="s">
        <v>18</v>
      </c>
    </row>
    <row r="4211" spans="1:13" x14ac:dyDescent="0.25">
      <c r="A4211" t="str">
        <f>"00652364"</f>
        <v>00652364</v>
      </c>
      <c r="B4211" t="s">
        <v>1322</v>
      </c>
      <c r="C4211" t="s">
        <v>125</v>
      </c>
      <c r="D4211" t="s">
        <v>73</v>
      </c>
      <c r="E4211" t="s">
        <v>16</v>
      </c>
      <c r="F4211" t="s">
        <v>17</v>
      </c>
      <c r="G4211" t="str">
        <f>"12"</f>
        <v>12</v>
      </c>
      <c r="H4211" t="str">
        <f>"1  "</f>
        <v xml:space="preserve">1  </v>
      </c>
      <c r="I4211" t="str">
        <f>"2020/06/04"</f>
        <v>2020/06/04</v>
      </c>
      <c r="J4211" t="str">
        <f>"502"</f>
        <v>502</v>
      </c>
      <c r="K4211" t="str">
        <f>"20210406"</f>
        <v>20210406</v>
      </c>
      <c r="L4211" t="s">
        <v>18</v>
      </c>
      <c r="M4211" t="str">
        <f>"20200602"</f>
        <v>20200602</v>
      </c>
    </row>
    <row r="4212" spans="1:13" x14ac:dyDescent="0.25">
      <c r="A4212" t="str">
        <f>"00754696"</f>
        <v>00754696</v>
      </c>
      <c r="B4212" t="s">
        <v>1376</v>
      </c>
      <c r="C4212" t="s">
        <v>176</v>
      </c>
      <c r="D4212" t="s">
        <v>26</v>
      </c>
      <c r="E4212" t="s">
        <v>16</v>
      </c>
      <c r="F4212" t="s">
        <v>17</v>
      </c>
      <c r="G4212" t="str">
        <f>"12"</f>
        <v>12</v>
      </c>
      <c r="H4212" t="str">
        <f>"1  "</f>
        <v xml:space="preserve">1  </v>
      </c>
      <c r="I4212" t="str">
        <f>"2020/06/08"</f>
        <v>2020/06/08</v>
      </c>
      <c r="J4212" t="str">
        <f>"503"</f>
        <v>503</v>
      </c>
      <c r="K4212" t="str">
        <f>"20210420"</f>
        <v>20210420</v>
      </c>
      <c r="L4212" t="s">
        <v>18</v>
      </c>
      <c r="M4212" t="str">
        <f>"20200606"</f>
        <v>20200606</v>
      </c>
    </row>
    <row r="4213" spans="1:13" x14ac:dyDescent="0.25">
      <c r="A4213" t="str">
        <f>"00297024"</f>
        <v>00297024</v>
      </c>
      <c r="B4213" t="s">
        <v>1413</v>
      </c>
      <c r="C4213" t="s">
        <v>989</v>
      </c>
      <c r="D4213" t="s">
        <v>26</v>
      </c>
      <c r="E4213" t="s">
        <v>26</v>
      </c>
      <c r="F4213" t="s">
        <v>17</v>
      </c>
      <c r="G4213" t="str">
        <f>"12"</f>
        <v>12</v>
      </c>
      <c r="H4213" t="str">
        <f>"3  "</f>
        <v xml:space="preserve">3  </v>
      </c>
      <c r="I4213" t="str">
        <f>"2020/06/23"</f>
        <v>2020/06/23</v>
      </c>
      <c r="J4213" t="str">
        <f>"503"</f>
        <v>503</v>
      </c>
      <c r="K4213" t="str">
        <f>"20201117"</f>
        <v>20201117</v>
      </c>
      <c r="L4213" t="s">
        <v>18</v>
      </c>
      <c r="M4213" t="str">
        <f>"20161018"</f>
        <v>20161018</v>
      </c>
    </row>
    <row r="4214" spans="1:13" x14ac:dyDescent="0.25">
      <c r="A4214" t="str">
        <f>"00570742"</f>
        <v>00570742</v>
      </c>
      <c r="B4214" t="s">
        <v>1469</v>
      </c>
      <c r="C4214" t="s">
        <v>1472</v>
      </c>
      <c r="D4214" t="s">
        <v>25</v>
      </c>
      <c r="E4214" t="s">
        <v>26</v>
      </c>
      <c r="F4214" t="s">
        <v>17</v>
      </c>
      <c r="G4214" t="str">
        <f>"12"</f>
        <v>12</v>
      </c>
      <c r="H4214" t="str">
        <f>"0  "</f>
        <v xml:space="preserve">0  </v>
      </c>
      <c r="I4214" t="str">
        <f>"2020/09/16"</f>
        <v>2020/09/16</v>
      </c>
      <c r="J4214" t="str">
        <f>"420"</f>
        <v>420</v>
      </c>
      <c r="K4214" t="s">
        <v>18</v>
      </c>
      <c r="L4214" t="s">
        <v>18</v>
      </c>
      <c r="M4214" t="s">
        <v>18</v>
      </c>
    </row>
    <row r="4215" spans="1:13" x14ac:dyDescent="0.25">
      <c r="A4215" t="str">
        <f>"00169061"</f>
        <v>00169061</v>
      </c>
      <c r="B4215" t="s">
        <v>1478</v>
      </c>
      <c r="C4215" t="s">
        <v>1479</v>
      </c>
      <c r="D4215" t="s">
        <v>45</v>
      </c>
      <c r="E4215" t="s">
        <v>26</v>
      </c>
      <c r="F4215" t="s">
        <v>17</v>
      </c>
      <c r="G4215" t="str">
        <f>"12"</f>
        <v>12</v>
      </c>
      <c r="H4215" t="str">
        <f>"0  "</f>
        <v xml:space="preserve">0  </v>
      </c>
      <c r="I4215" t="str">
        <f>"2020/07/22"</f>
        <v>2020/07/22</v>
      </c>
      <c r="J4215" t="str">
        <f>"420"</f>
        <v>420</v>
      </c>
      <c r="K4215" t="s">
        <v>18</v>
      </c>
      <c r="L4215" t="s">
        <v>18</v>
      </c>
      <c r="M4215" t="s">
        <v>18</v>
      </c>
    </row>
    <row r="4216" spans="1:13" x14ac:dyDescent="0.25">
      <c r="A4216" t="str">
        <f>"00357525"</f>
        <v>00357525</v>
      </c>
      <c r="B4216" t="s">
        <v>1531</v>
      </c>
      <c r="C4216" t="s">
        <v>414</v>
      </c>
      <c r="D4216" t="s">
        <v>25</v>
      </c>
      <c r="E4216" t="s">
        <v>26</v>
      </c>
      <c r="F4216" t="s">
        <v>17</v>
      </c>
      <c r="G4216" t="str">
        <f>"12"</f>
        <v>12</v>
      </c>
      <c r="H4216" t="str">
        <f>"1  "</f>
        <v xml:space="preserve">1  </v>
      </c>
      <c r="I4216" t="str">
        <f>"2020/08/22"</f>
        <v>2020/08/22</v>
      </c>
      <c r="J4216" t="str">
        <f>"539"</f>
        <v>539</v>
      </c>
      <c r="K4216" t="str">
        <f>"20210726"</f>
        <v>20210726</v>
      </c>
      <c r="L4216" t="s">
        <v>18</v>
      </c>
      <c r="M4216" t="str">
        <f>"20200822"</f>
        <v>20200822</v>
      </c>
    </row>
    <row r="4217" spans="1:13" x14ac:dyDescent="0.25">
      <c r="A4217" t="str">
        <f>"00522481"</f>
        <v>00522481</v>
      </c>
      <c r="B4217" t="s">
        <v>1586</v>
      </c>
      <c r="C4217" t="s">
        <v>264</v>
      </c>
      <c r="D4217" t="s">
        <v>51</v>
      </c>
      <c r="E4217" t="s">
        <v>16</v>
      </c>
      <c r="F4217" t="s">
        <v>17</v>
      </c>
      <c r="G4217" t="str">
        <f>"12"</f>
        <v>12</v>
      </c>
      <c r="H4217" t="str">
        <f>"1  "</f>
        <v xml:space="preserve">1  </v>
      </c>
      <c r="I4217" t="str">
        <f>"2020/08/25"</f>
        <v>2020/08/25</v>
      </c>
      <c r="J4217" t="str">
        <f>"110"</f>
        <v>110</v>
      </c>
      <c r="K4217" t="str">
        <f>"20201216"</f>
        <v>20201216</v>
      </c>
      <c r="L4217" t="s">
        <v>18</v>
      </c>
      <c r="M4217" t="str">
        <f>"20200825"</f>
        <v>20200825</v>
      </c>
    </row>
    <row r="4218" spans="1:13" x14ac:dyDescent="0.25">
      <c r="A4218" t="str">
        <f>"00372020"</f>
        <v>00372020</v>
      </c>
      <c r="B4218" t="s">
        <v>1586</v>
      </c>
      <c r="C4218" t="s">
        <v>1587</v>
      </c>
      <c r="D4218" t="s">
        <v>121</v>
      </c>
      <c r="E4218" t="s">
        <v>26</v>
      </c>
      <c r="F4218" t="s">
        <v>17</v>
      </c>
      <c r="G4218" t="str">
        <f>"12"</f>
        <v>12</v>
      </c>
      <c r="H4218" t="str">
        <f>"1  "</f>
        <v xml:space="preserve">1  </v>
      </c>
      <c r="I4218" t="str">
        <f>"2020/08/18"</f>
        <v>2020/08/18</v>
      </c>
      <c r="J4218" t="str">
        <f>"503"</f>
        <v>503</v>
      </c>
      <c r="K4218" t="str">
        <f>"20210710"</f>
        <v>20210710</v>
      </c>
      <c r="L4218" t="s">
        <v>18</v>
      </c>
      <c r="M4218" t="str">
        <f>"20200809"</f>
        <v>20200809</v>
      </c>
    </row>
    <row r="4219" spans="1:13" x14ac:dyDescent="0.25">
      <c r="A4219" t="str">
        <f>"00148876"</f>
        <v>00148876</v>
      </c>
      <c r="B4219" t="s">
        <v>1616</v>
      </c>
      <c r="C4219" t="s">
        <v>333</v>
      </c>
      <c r="D4219" t="s">
        <v>37</v>
      </c>
      <c r="E4219" t="s">
        <v>26</v>
      </c>
      <c r="F4219" t="s">
        <v>17</v>
      </c>
      <c r="G4219" t="str">
        <f>"12"</f>
        <v>12</v>
      </c>
      <c r="H4219" t="str">
        <f>"1  "</f>
        <v xml:space="preserve">1  </v>
      </c>
      <c r="I4219" t="str">
        <f>"2020/08/07"</f>
        <v>2020/08/07</v>
      </c>
      <c r="J4219" t="str">
        <f>"502"</f>
        <v>502</v>
      </c>
      <c r="K4219" t="str">
        <f>"20210113"</f>
        <v>20210113</v>
      </c>
      <c r="L4219" t="s">
        <v>18</v>
      </c>
      <c r="M4219" t="str">
        <f>"20200806"</f>
        <v>20200806</v>
      </c>
    </row>
    <row r="4220" spans="1:13" x14ac:dyDescent="0.25">
      <c r="A4220" t="str">
        <f>"00179405"</f>
        <v>00179405</v>
      </c>
      <c r="B4220" t="s">
        <v>1637</v>
      </c>
      <c r="C4220" t="s">
        <v>14</v>
      </c>
      <c r="D4220" t="s">
        <v>51</v>
      </c>
      <c r="E4220" t="s">
        <v>26</v>
      </c>
      <c r="F4220" t="s">
        <v>17</v>
      </c>
      <c r="G4220" t="str">
        <f>"12"</f>
        <v>12</v>
      </c>
      <c r="H4220" t="str">
        <f>"1  "</f>
        <v xml:space="preserve">1  </v>
      </c>
      <c r="I4220" t="str">
        <f>"2020/09/22"</f>
        <v>2020/09/22</v>
      </c>
      <c r="J4220" t="str">
        <f>"503"</f>
        <v>503</v>
      </c>
      <c r="K4220" t="str">
        <f>"20210210"</f>
        <v>20210210</v>
      </c>
      <c r="L4220" t="s">
        <v>18</v>
      </c>
      <c r="M4220" t="str">
        <f>"20200831"</f>
        <v>20200831</v>
      </c>
    </row>
    <row r="4221" spans="1:13" x14ac:dyDescent="0.25">
      <c r="A4221" t="str">
        <f>"00732992"</f>
        <v>00732992</v>
      </c>
      <c r="B4221" t="s">
        <v>1699</v>
      </c>
      <c r="C4221" t="s">
        <v>267</v>
      </c>
      <c r="D4221" t="s">
        <v>40</v>
      </c>
      <c r="E4221" t="s">
        <v>26</v>
      </c>
      <c r="F4221" t="s">
        <v>17</v>
      </c>
      <c r="G4221" t="str">
        <f>"12"</f>
        <v>12</v>
      </c>
      <c r="H4221" t="str">
        <f>"1  "</f>
        <v xml:space="preserve">1  </v>
      </c>
      <c r="I4221" t="str">
        <f>"2020/09/16"</f>
        <v>2020/09/16</v>
      </c>
      <c r="J4221" t="str">
        <f>"120"</f>
        <v>120</v>
      </c>
      <c r="K4221" t="str">
        <f>"20210107"</f>
        <v>20210107</v>
      </c>
      <c r="L4221" t="s">
        <v>18</v>
      </c>
      <c r="M4221" t="str">
        <f>"20200916"</f>
        <v>20200916</v>
      </c>
    </row>
    <row r="4222" spans="1:13" x14ac:dyDescent="0.25">
      <c r="A4222" t="str">
        <f>"00391283"</f>
        <v>00391283</v>
      </c>
      <c r="B4222" t="s">
        <v>1785</v>
      </c>
      <c r="C4222" t="s">
        <v>135</v>
      </c>
      <c r="D4222" t="s">
        <v>31</v>
      </c>
      <c r="E4222" t="s">
        <v>16</v>
      </c>
      <c r="F4222" t="s">
        <v>17</v>
      </c>
      <c r="G4222" t="str">
        <f>"12"</f>
        <v>12</v>
      </c>
      <c r="H4222" t="str">
        <f>"1  "</f>
        <v xml:space="preserve">1  </v>
      </c>
      <c r="I4222" t="str">
        <f>"2020/08/03"</f>
        <v>2020/08/03</v>
      </c>
      <c r="J4222" t="str">
        <f>"504"</f>
        <v>504</v>
      </c>
      <c r="K4222" t="str">
        <f>"20210115"</f>
        <v>20210115</v>
      </c>
      <c r="L4222" t="s">
        <v>18</v>
      </c>
      <c r="M4222" t="str">
        <f>"20200311"</f>
        <v>20200311</v>
      </c>
    </row>
    <row r="4223" spans="1:13" x14ac:dyDescent="0.25">
      <c r="A4223" t="str">
        <f>"00591306"</f>
        <v>00591306</v>
      </c>
      <c r="B4223" t="s">
        <v>1785</v>
      </c>
      <c r="C4223" t="s">
        <v>1786</v>
      </c>
      <c r="D4223" t="s">
        <v>15</v>
      </c>
      <c r="E4223" t="s">
        <v>26</v>
      </c>
      <c r="F4223" t="s">
        <v>17</v>
      </c>
      <c r="G4223" t="str">
        <f>"12"</f>
        <v>12</v>
      </c>
      <c r="H4223" t="str">
        <f>"0  "</f>
        <v xml:space="preserve">0  </v>
      </c>
      <c r="I4223" t="str">
        <f>"2020/06/24"</f>
        <v>2020/06/24</v>
      </c>
      <c r="J4223" t="str">
        <f>"503"</f>
        <v>503</v>
      </c>
      <c r="K4223" t="s">
        <v>18</v>
      </c>
      <c r="L4223" t="s">
        <v>18</v>
      </c>
      <c r="M4223" t="s">
        <v>18</v>
      </c>
    </row>
    <row r="4224" spans="1:13" x14ac:dyDescent="0.25">
      <c r="A4224" t="str">
        <f>"00595047"</f>
        <v>00595047</v>
      </c>
      <c r="B4224" t="s">
        <v>1820</v>
      </c>
      <c r="C4224" t="s">
        <v>1821</v>
      </c>
      <c r="D4224" t="s">
        <v>61</v>
      </c>
      <c r="E4224" t="s">
        <v>16</v>
      </c>
      <c r="F4224" t="s">
        <v>17</v>
      </c>
      <c r="G4224" t="str">
        <f>"12"</f>
        <v>12</v>
      </c>
      <c r="H4224" t="str">
        <f>"0  "</f>
        <v xml:space="preserve">0  </v>
      </c>
      <c r="I4224" t="str">
        <f>"2020/09/11"</f>
        <v>2020/09/11</v>
      </c>
      <c r="J4224" t="str">
        <f>"510"</f>
        <v>510</v>
      </c>
      <c r="K4224" t="s">
        <v>18</v>
      </c>
      <c r="L4224" t="s">
        <v>18</v>
      </c>
      <c r="M4224" t="s">
        <v>18</v>
      </c>
    </row>
    <row r="4225" spans="1:13" x14ac:dyDescent="0.25">
      <c r="A4225" t="str">
        <f>"00521946"</f>
        <v>00521946</v>
      </c>
      <c r="B4225" t="s">
        <v>1824</v>
      </c>
      <c r="C4225" t="s">
        <v>1826</v>
      </c>
      <c r="D4225" t="s">
        <v>97</v>
      </c>
      <c r="E4225" t="s">
        <v>26</v>
      </c>
      <c r="F4225" t="s">
        <v>17</v>
      </c>
      <c r="G4225" t="str">
        <f>"12"</f>
        <v>12</v>
      </c>
      <c r="H4225" t="str">
        <f>"0  "</f>
        <v xml:space="preserve">0  </v>
      </c>
      <c r="I4225" t="str">
        <f>"2020/09/17"</f>
        <v>2020/09/17</v>
      </c>
      <c r="J4225" t="str">
        <f>"503"</f>
        <v>503</v>
      </c>
      <c r="K4225" t="s">
        <v>18</v>
      </c>
      <c r="L4225" t="s">
        <v>18</v>
      </c>
      <c r="M4225" t="s">
        <v>18</v>
      </c>
    </row>
    <row r="4226" spans="1:13" x14ac:dyDescent="0.25">
      <c r="A4226" t="str">
        <f>"00280044"</f>
        <v>00280044</v>
      </c>
      <c r="B4226" t="s">
        <v>1824</v>
      </c>
      <c r="C4226" t="s">
        <v>136</v>
      </c>
      <c r="D4226" t="s">
        <v>53</v>
      </c>
      <c r="E4226" t="s">
        <v>26</v>
      </c>
      <c r="F4226" t="s">
        <v>17</v>
      </c>
      <c r="G4226" t="str">
        <f>"12"</f>
        <v>12</v>
      </c>
      <c r="H4226" t="str">
        <f>"1  "</f>
        <v xml:space="preserve">1  </v>
      </c>
      <c r="I4226" t="str">
        <f>"2020/08/07"</f>
        <v>2020/08/07</v>
      </c>
      <c r="J4226" t="str">
        <f>"120"</f>
        <v>120</v>
      </c>
      <c r="K4226" t="str">
        <f>"20201107"</f>
        <v>20201107</v>
      </c>
      <c r="L4226" t="s">
        <v>18</v>
      </c>
      <c r="M4226" t="str">
        <f>"20200724"</f>
        <v>20200724</v>
      </c>
    </row>
    <row r="4227" spans="1:13" x14ac:dyDescent="0.25">
      <c r="A4227" t="str">
        <f>"00252107"</f>
        <v>00252107</v>
      </c>
      <c r="B4227" t="s">
        <v>1840</v>
      </c>
      <c r="C4227" t="s">
        <v>442</v>
      </c>
      <c r="D4227" t="s">
        <v>51</v>
      </c>
      <c r="E4227" t="s">
        <v>26</v>
      </c>
      <c r="F4227" t="s">
        <v>17</v>
      </c>
      <c r="G4227" t="str">
        <f>"12"</f>
        <v>12</v>
      </c>
      <c r="H4227" t="str">
        <f>"0  "</f>
        <v xml:space="preserve">0  </v>
      </c>
      <c r="I4227" t="str">
        <f>"2020/09/10"</f>
        <v>2020/09/10</v>
      </c>
      <c r="J4227" t="str">
        <f>"420"</f>
        <v>420</v>
      </c>
      <c r="K4227" t="s">
        <v>18</v>
      </c>
      <c r="L4227" t="s">
        <v>18</v>
      </c>
      <c r="M4227" t="s">
        <v>18</v>
      </c>
    </row>
    <row r="4228" spans="1:13" x14ac:dyDescent="0.25">
      <c r="A4228" t="str">
        <f>"00261184"</f>
        <v>00261184</v>
      </c>
      <c r="B4228" t="s">
        <v>1858</v>
      </c>
      <c r="C4228" t="s">
        <v>72</v>
      </c>
      <c r="D4228" t="s">
        <v>40</v>
      </c>
      <c r="E4228" t="s">
        <v>16</v>
      </c>
      <c r="F4228" t="s">
        <v>17</v>
      </c>
      <c r="G4228" t="str">
        <f>"12"</f>
        <v>12</v>
      </c>
      <c r="H4228" t="str">
        <f>"1  "</f>
        <v xml:space="preserve">1  </v>
      </c>
      <c r="I4228" t="str">
        <f>"2020/09/09"</f>
        <v>2020/09/09</v>
      </c>
      <c r="J4228" t="str">
        <f>"503"</f>
        <v>503</v>
      </c>
      <c r="K4228" t="str">
        <f>"20201015"</f>
        <v>20201015</v>
      </c>
      <c r="L4228" t="s">
        <v>18</v>
      </c>
      <c r="M4228" t="str">
        <f>"20200823"</f>
        <v>20200823</v>
      </c>
    </row>
    <row r="4229" spans="1:13" x14ac:dyDescent="0.25">
      <c r="A4229" t="str">
        <f>"00419227"</f>
        <v>00419227</v>
      </c>
      <c r="B4229" t="s">
        <v>1884</v>
      </c>
      <c r="C4229" t="s">
        <v>62</v>
      </c>
      <c r="D4229" t="s">
        <v>45</v>
      </c>
      <c r="E4229" t="s">
        <v>26</v>
      </c>
      <c r="F4229" t="s">
        <v>17</v>
      </c>
      <c r="G4229" t="str">
        <f>"12"</f>
        <v>12</v>
      </c>
      <c r="H4229" t="str">
        <f>"1  "</f>
        <v xml:space="preserve">1  </v>
      </c>
      <c r="I4229" t="str">
        <f>"2020/03/20"</f>
        <v>2020/03/20</v>
      </c>
      <c r="J4229" t="str">
        <f>"503"</f>
        <v>503</v>
      </c>
      <c r="K4229" t="str">
        <f>"20210120"</f>
        <v>20210120</v>
      </c>
      <c r="L4229" t="s">
        <v>18</v>
      </c>
      <c r="M4229" t="str">
        <f>"20200320"</f>
        <v>20200320</v>
      </c>
    </row>
    <row r="4230" spans="1:13" x14ac:dyDescent="0.25">
      <c r="A4230" t="str">
        <f>"00237158"</f>
        <v>00237158</v>
      </c>
      <c r="B4230" t="s">
        <v>1920</v>
      </c>
      <c r="C4230" t="s">
        <v>353</v>
      </c>
      <c r="D4230" t="s">
        <v>15</v>
      </c>
      <c r="E4230" t="s">
        <v>26</v>
      </c>
      <c r="F4230" t="s">
        <v>17</v>
      </c>
      <c r="G4230" t="str">
        <f>"12"</f>
        <v>12</v>
      </c>
      <c r="H4230" t="str">
        <f>"3  "</f>
        <v xml:space="preserve">3  </v>
      </c>
      <c r="I4230" t="str">
        <f>"2020/07/31"</f>
        <v>2020/07/31</v>
      </c>
      <c r="J4230" t="str">
        <f>"502"</f>
        <v>502</v>
      </c>
      <c r="K4230" t="str">
        <f>"20200928"</f>
        <v>20200928</v>
      </c>
      <c r="L4230" t="s">
        <v>18</v>
      </c>
      <c r="M4230" t="str">
        <f>"20101222"</f>
        <v>20101222</v>
      </c>
    </row>
    <row r="4231" spans="1:13" x14ac:dyDescent="0.25">
      <c r="A4231" t="str">
        <f>"00710202"</f>
        <v>00710202</v>
      </c>
      <c r="B4231" t="s">
        <v>1922</v>
      </c>
      <c r="C4231" t="s">
        <v>96</v>
      </c>
      <c r="D4231" t="s">
        <v>45</v>
      </c>
      <c r="E4231" t="s">
        <v>16</v>
      </c>
      <c r="F4231" t="s">
        <v>17</v>
      </c>
      <c r="G4231" t="str">
        <f>"12"</f>
        <v>12</v>
      </c>
      <c r="H4231" t="str">
        <f>"0  "</f>
        <v xml:space="preserve">0  </v>
      </c>
      <c r="I4231" t="str">
        <f>"2020/08/17"</f>
        <v>2020/08/17</v>
      </c>
      <c r="J4231" t="str">
        <f>"420"</f>
        <v>420</v>
      </c>
      <c r="K4231" t="s">
        <v>18</v>
      </c>
      <c r="L4231" t="s">
        <v>18</v>
      </c>
      <c r="M4231" t="s">
        <v>18</v>
      </c>
    </row>
    <row r="4232" spans="1:13" x14ac:dyDescent="0.25">
      <c r="A4232" t="str">
        <f>"00299198"</f>
        <v>00299198</v>
      </c>
      <c r="B4232" t="s">
        <v>1924</v>
      </c>
      <c r="C4232" t="s">
        <v>74</v>
      </c>
      <c r="D4232" t="s">
        <v>45</v>
      </c>
      <c r="E4232" t="s">
        <v>26</v>
      </c>
      <c r="F4232" t="s">
        <v>17</v>
      </c>
      <c r="G4232" t="str">
        <f>"12"</f>
        <v>12</v>
      </c>
      <c r="H4232" t="str">
        <f>"0  "</f>
        <v xml:space="preserve">0  </v>
      </c>
      <c r="I4232" t="str">
        <f>"2020/09/14"</f>
        <v>2020/09/14</v>
      </c>
      <c r="J4232" t="str">
        <f>"420"</f>
        <v>420</v>
      </c>
      <c r="K4232" t="s">
        <v>18</v>
      </c>
      <c r="L4232" t="s">
        <v>18</v>
      </c>
      <c r="M4232" t="s">
        <v>18</v>
      </c>
    </row>
    <row r="4233" spans="1:13" x14ac:dyDescent="0.25">
      <c r="A4233" t="str">
        <f>"00523431"</f>
        <v>00523431</v>
      </c>
      <c r="B4233" t="s">
        <v>1969</v>
      </c>
      <c r="C4233" t="s">
        <v>135</v>
      </c>
      <c r="D4233" t="s">
        <v>61</v>
      </c>
      <c r="E4233" t="s">
        <v>26</v>
      </c>
      <c r="F4233" t="s">
        <v>17</v>
      </c>
      <c r="G4233" t="str">
        <f>"12"</f>
        <v>12</v>
      </c>
      <c r="H4233" t="str">
        <f>"0  "</f>
        <v xml:space="preserve">0  </v>
      </c>
      <c r="I4233" t="str">
        <f>"2020/09/10"</f>
        <v>2020/09/10</v>
      </c>
      <c r="J4233" t="str">
        <f>"420"</f>
        <v>420</v>
      </c>
      <c r="K4233" t="s">
        <v>18</v>
      </c>
      <c r="L4233" t="s">
        <v>18</v>
      </c>
      <c r="M4233" t="s">
        <v>18</v>
      </c>
    </row>
    <row r="4234" spans="1:13" x14ac:dyDescent="0.25">
      <c r="A4234" t="str">
        <f>"00401062"</f>
        <v>00401062</v>
      </c>
      <c r="B4234" t="s">
        <v>1969</v>
      </c>
      <c r="C4234" t="s">
        <v>655</v>
      </c>
      <c r="D4234" t="s">
        <v>25</v>
      </c>
      <c r="E4234" t="s">
        <v>26</v>
      </c>
      <c r="F4234" t="s">
        <v>17</v>
      </c>
      <c r="G4234" t="str">
        <f>"12"</f>
        <v>12</v>
      </c>
      <c r="H4234" t="str">
        <f>"0  "</f>
        <v xml:space="preserve">0  </v>
      </c>
      <c r="I4234" t="str">
        <f>"2020/07/20"</f>
        <v>2020/07/20</v>
      </c>
      <c r="J4234" t="str">
        <f>"420"</f>
        <v>420</v>
      </c>
      <c r="K4234" t="s">
        <v>18</v>
      </c>
      <c r="L4234" t="s">
        <v>18</v>
      </c>
      <c r="M4234" t="s">
        <v>18</v>
      </c>
    </row>
    <row r="4235" spans="1:13" x14ac:dyDescent="0.25">
      <c r="A4235" t="str">
        <f>"00514592"</f>
        <v>00514592</v>
      </c>
      <c r="B4235" t="s">
        <v>1972</v>
      </c>
      <c r="C4235" t="s">
        <v>1973</v>
      </c>
      <c r="D4235" t="s">
        <v>40</v>
      </c>
      <c r="E4235" t="s">
        <v>26</v>
      </c>
      <c r="F4235" t="s">
        <v>17</v>
      </c>
      <c r="G4235" t="str">
        <f>"12"</f>
        <v>12</v>
      </c>
      <c r="H4235" t="str">
        <f>"1  "</f>
        <v xml:space="preserve">1  </v>
      </c>
      <c r="I4235" t="str">
        <f>"2020/02/28"</f>
        <v>2020/02/28</v>
      </c>
      <c r="J4235" t="str">
        <f>"503"</f>
        <v>503</v>
      </c>
      <c r="K4235" t="str">
        <f>"20201023"</f>
        <v>20201023</v>
      </c>
      <c r="L4235" t="s">
        <v>18</v>
      </c>
      <c r="M4235" t="str">
        <f>"20200228"</f>
        <v>20200228</v>
      </c>
    </row>
    <row r="4236" spans="1:13" x14ac:dyDescent="0.25">
      <c r="A4236" t="str">
        <f>"00570184"</f>
        <v>00570184</v>
      </c>
      <c r="B4236" t="s">
        <v>1994</v>
      </c>
      <c r="C4236" t="s">
        <v>55</v>
      </c>
      <c r="D4236" t="s">
        <v>31</v>
      </c>
      <c r="E4236" t="s">
        <v>16</v>
      </c>
      <c r="F4236" t="s">
        <v>17</v>
      </c>
      <c r="G4236" t="str">
        <f>"12"</f>
        <v>12</v>
      </c>
      <c r="H4236" t="str">
        <f>"1  "</f>
        <v xml:space="preserve">1  </v>
      </c>
      <c r="I4236" t="str">
        <f>"2020/09/10"</f>
        <v>2020/09/10</v>
      </c>
      <c r="J4236" t="str">
        <f>"503"</f>
        <v>503</v>
      </c>
      <c r="K4236" t="str">
        <f>"20201230"</f>
        <v>20201230</v>
      </c>
      <c r="L4236" t="s">
        <v>18</v>
      </c>
      <c r="M4236" t="str">
        <f>"20200718"</f>
        <v>20200718</v>
      </c>
    </row>
    <row r="4237" spans="1:13" x14ac:dyDescent="0.25">
      <c r="A4237" t="str">
        <f>"00586828"</f>
        <v>00586828</v>
      </c>
      <c r="B4237" t="s">
        <v>2012</v>
      </c>
      <c r="C4237" t="s">
        <v>136</v>
      </c>
      <c r="D4237" t="s">
        <v>15</v>
      </c>
      <c r="E4237" t="s">
        <v>26</v>
      </c>
      <c r="F4237" t="s">
        <v>17</v>
      </c>
      <c r="G4237" t="str">
        <f>"12"</f>
        <v>12</v>
      </c>
      <c r="H4237" t="str">
        <f>"1  "</f>
        <v xml:space="preserve">1  </v>
      </c>
      <c r="I4237" t="str">
        <f>"2020/08/13"</f>
        <v>2020/08/13</v>
      </c>
      <c r="J4237" t="str">
        <f>"120"</f>
        <v>120</v>
      </c>
      <c r="K4237" t="str">
        <f>"20200930"</f>
        <v>20200930</v>
      </c>
      <c r="L4237" t="s">
        <v>18</v>
      </c>
      <c r="M4237" t="str">
        <f>"20200722"</f>
        <v>20200722</v>
      </c>
    </row>
    <row r="4238" spans="1:13" x14ac:dyDescent="0.25">
      <c r="A4238" t="str">
        <f>"00212874"</f>
        <v>00212874</v>
      </c>
      <c r="B4238" t="s">
        <v>2050</v>
      </c>
      <c r="C4238" t="s">
        <v>14</v>
      </c>
      <c r="D4238" t="s">
        <v>51</v>
      </c>
      <c r="E4238" t="s">
        <v>26</v>
      </c>
      <c r="F4238" t="s">
        <v>17</v>
      </c>
      <c r="G4238" t="str">
        <f>"12"</f>
        <v>12</v>
      </c>
      <c r="H4238" t="str">
        <f>"0  "</f>
        <v xml:space="preserve">0  </v>
      </c>
      <c r="I4238" t="str">
        <f>"2020/09/04"</f>
        <v>2020/09/04</v>
      </c>
      <c r="J4238" t="str">
        <f>"420"</f>
        <v>420</v>
      </c>
      <c r="K4238" t="s">
        <v>18</v>
      </c>
      <c r="L4238" t="s">
        <v>18</v>
      </c>
      <c r="M4238" t="s">
        <v>18</v>
      </c>
    </row>
    <row r="4239" spans="1:13" x14ac:dyDescent="0.25">
      <c r="A4239" t="str">
        <f>"00856994"</f>
        <v>00856994</v>
      </c>
      <c r="B4239" t="s">
        <v>2059</v>
      </c>
      <c r="C4239" t="s">
        <v>2060</v>
      </c>
      <c r="D4239" t="s">
        <v>91</v>
      </c>
      <c r="E4239" t="s">
        <v>16</v>
      </c>
      <c r="F4239" t="s">
        <v>17</v>
      </c>
      <c r="G4239" t="str">
        <f>"12"</f>
        <v>12</v>
      </c>
      <c r="H4239" t="str">
        <f>"1  "</f>
        <v xml:space="preserve">1  </v>
      </c>
      <c r="I4239" t="str">
        <f>"2020/03/02"</f>
        <v>2020/03/02</v>
      </c>
      <c r="J4239" t="str">
        <f>"110"</f>
        <v>110</v>
      </c>
      <c r="K4239" t="str">
        <f>"20200430"</f>
        <v>20200430</v>
      </c>
      <c r="L4239" t="s">
        <v>18</v>
      </c>
      <c r="M4239" t="str">
        <f>"20200302"</f>
        <v>20200302</v>
      </c>
    </row>
    <row r="4240" spans="1:13" x14ac:dyDescent="0.25">
      <c r="A4240" t="str">
        <f>"00900082"</f>
        <v>00900082</v>
      </c>
      <c r="B4240" t="s">
        <v>2061</v>
      </c>
      <c r="C4240" t="s">
        <v>2063</v>
      </c>
      <c r="D4240" t="s">
        <v>25</v>
      </c>
      <c r="E4240" t="s">
        <v>26</v>
      </c>
      <c r="F4240" t="s">
        <v>17</v>
      </c>
      <c r="G4240" t="str">
        <f>"12"</f>
        <v>12</v>
      </c>
      <c r="H4240" t="str">
        <f>"1  "</f>
        <v xml:space="preserve">1  </v>
      </c>
      <c r="I4240" t="str">
        <f>"2020/09/01"</f>
        <v>2020/09/01</v>
      </c>
      <c r="J4240" t="str">
        <f>"110"</f>
        <v>110</v>
      </c>
      <c r="K4240" t="str">
        <f>"20201124"</f>
        <v>20201124</v>
      </c>
      <c r="L4240" t="s">
        <v>18</v>
      </c>
      <c r="M4240" t="str">
        <f>"20200901"</f>
        <v>20200901</v>
      </c>
    </row>
    <row r="4241" spans="1:13" x14ac:dyDescent="0.25">
      <c r="A4241" t="str">
        <f>"00344013"</f>
        <v>00344013</v>
      </c>
      <c r="B4241" t="s">
        <v>2122</v>
      </c>
      <c r="C4241" t="s">
        <v>2125</v>
      </c>
      <c r="D4241" t="s">
        <v>51</v>
      </c>
      <c r="E4241" t="s">
        <v>26</v>
      </c>
      <c r="F4241" t="s">
        <v>17</v>
      </c>
      <c r="G4241" t="str">
        <f>"12"</f>
        <v>12</v>
      </c>
      <c r="H4241" t="str">
        <f>"3  "</f>
        <v xml:space="preserve">3  </v>
      </c>
      <c r="I4241" t="str">
        <f>"2020/08/20"</f>
        <v>2020/08/20</v>
      </c>
      <c r="J4241" t="str">
        <f>"503"</f>
        <v>503</v>
      </c>
      <c r="K4241" t="str">
        <f>"20221118"</f>
        <v>20221118</v>
      </c>
      <c r="L4241" t="s">
        <v>18</v>
      </c>
      <c r="M4241" t="str">
        <f>"20161111"</f>
        <v>20161111</v>
      </c>
    </row>
    <row r="4242" spans="1:13" x14ac:dyDescent="0.25">
      <c r="A4242" t="str">
        <f>"00391655"</f>
        <v>00391655</v>
      </c>
      <c r="B4242" t="s">
        <v>2122</v>
      </c>
      <c r="C4242" t="s">
        <v>2138</v>
      </c>
      <c r="D4242" t="s">
        <v>51</v>
      </c>
      <c r="E4242" t="s">
        <v>26</v>
      </c>
      <c r="F4242" t="s">
        <v>17</v>
      </c>
      <c r="G4242" t="str">
        <f>"12"</f>
        <v>12</v>
      </c>
      <c r="H4242" t="str">
        <f>"1  "</f>
        <v xml:space="preserve">1  </v>
      </c>
      <c r="I4242" t="str">
        <f>"2020/06/17"</f>
        <v>2020/06/17</v>
      </c>
      <c r="J4242" t="str">
        <f>"503"</f>
        <v>503</v>
      </c>
      <c r="K4242" t="str">
        <f>"20210423"</f>
        <v>20210423</v>
      </c>
      <c r="L4242" t="s">
        <v>18</v>
      </c>
      <c r="M4242" t="str">
        <f>"20200617"</f>
        <v>20200617</v>
      </c>
    </row>
    <row r="4243" spans="1:13" x14ac:dyDescent="0.25">
      <c r="A4243" t="str">
        <f>"00513353"</f>
        <v>00513353</v>
      </c>
      <c r="B4243" t="s">
        <v>2161</v>
      </c>
      <c r="C4243" t="s">
        <v>74</v>
      </c>
      <c r="D4243" t="s">
        <v>456</v>
      </c>
      <c r="E4243" t="s">
        <v>16</v>
      </c>
      <c r="F4243" t="s">
        <v>17</v>
      </c>
      <c r="G4243" t="str">
        <f>"12"</f>
        <v>12</v>
      </c>
      <c r="H4243" t="str">
        <f>"0  "</f>
        <v xml:space="preserve">0  </v>
      </c>
      <c r="I4243" t="str">
        <f>"2020/09/10"</f>
        <v>2020/09/10</v>
      </c>
      <c r="J4243" t="str">
        <f>"420"</f>
        <v>420</v>
      </c>
      <c r="K4243" t="s">
        <v>18</v>
      </c>
      <c r="L4243" t="s">
        <v>18</v>
      </c>
      <c r="M4243" t="s">
        <v>18</v>
      </c>
    </row>
    <row r="4244" spans="1:13" x14ac:dyDescent="0.25">
      <c r="A4244" t="str">
        <f>"00437769"</f>
        <v>00437769</v>
      </c>
      <c r="B4244" t="s">
        <v>2177</v>
      </c>
      <c r="C4244" t="s">
        <v>1389</v>
      </c>
      <c r="D4244" t="s">
        <v>91</v>
      </c>
      <c r="E4244" t="s">
        <v>26</v>
      </c>
      <c r="F4244" t="s">
        <v>17</v>
      </c>
      <c r="G4244" t="str">
        <f>"12"</f>
        <v>12</v>
      </c>
      <c r="H4244" t="str">
        <f>"1  "</f>
        <v xml:space="preserve">1  </v>
      </c>
      <c r="I4244" t="str">
        <f>"2020/06/01"</f>
        <v>2020/06/01</v>
      </c>
      <c r="J4244" t="str">
        <f>"503"</f>
        <v>503</v>
      </c>
      <c r="K4244" t="str">
        <f>"20201025"</f>
        <v>20201025</v>
      </c>
      <c r="L4244" t="s">
        <v>18</v>
      </c>
      <c r="M4244" t="str">
        <f>"20200531"</f>
        <v>20200531</v>
      </c>
    </row>
    <row r="4245" spans="1:13" x14ac:dyDescent="0.25">
      <c r="A4245" t="str">
        <f>"00574740"</f>
        <v>00574740</v>
      </c>
      <c r="B4245" t="s">
        <v>2205</v>
      </c>
      <c r="C4245" t="s">
        <v>878</v>
      </c>
      <c r="D4245" t="s">
        <v>80</v>
      </c>
      <c r="E4245" t="s">
        <v>26</v>
      </c>
      <c r="F4245" t="s">
        <v>17</v>
      </c>
      <c r="G4245" t="str">
        <f>"12"</f>
        <v>12</v>
      </c>
      <c r="H4245" t="str">
        <f>"1  "</f>
        <v xml:space="preserve">1  </v>
      </c>
      <c r="I4245" t="str">
        <f>"2020/08/26"</f>
        <v>2020/08/26</v>
      </c>
      <c r="J4245" t="str">
        <f>"120"</f>
        <v>120</v>
      </c>
      <c r="K4245" t="str">
        <f>"20201116"</f>
        <v>20201116</v>
      </c>
      <c r="L4245" t="s">
        <v>18</v>
      </c>
      <c r="M4245" t="str">
        <f>"20200826"</f>
        <v>20200826</v>
      </c>
    </row>
    <row r="4246" spans="1:13" x14ac:dyDescent="0.25">
      <c r="A4246" t="str">
        <f>"00283895"</f>
        <v>00283895</v>
      </c>
      <c r="B4246" t="s">
        <v>2360</v>
      </c>
      <c r="C4246" t="s">
        <v>547</v>
      </c>
      <c r="D4246" t="s">
        <v>40</v>
      </c>
      <c r="E4246" t="s">
        <v>26</v>
      </c>
      <c r="F4246" t="s">
        <v>17</v>
      </c>
      <c r="G4246" t="str">
        <f>"12"</f>
        <v>12</v>
      </c>
      <c r="H4246" t="str">
        <f>"1  "</f>
        <v xml:space="preserve">1  </v>
      </c>
      <c r="I4246" t="str">
        <f>"2020/09/15"</f>
        <v>2020/09/15</v>
      </c>
      <c r="J4246" t="str">
        <f>"503"</f>
        <v>503</v>
      </c>
      <c r="K4246" t="str">
        <f>"20210212"</f>
        <v>20210212</v>
      </c>
      <c r="L4246" t="s">
        <v>18</v>
      </c>
      <c r="M4246" t="str">
        <f>"20200825"</f>
        <v>20200825</v>
      </c>
    </row>
    <row r="4247" spans="1:13" x14ac:dyDescent="0.25">
      <c r="A4247" t="str">
        <f>"00372357"</f>
        <v>00372357</v>
      </c>
      <c r="B4247" t="s">
        <v>2494</v>
      </c>
      <c r="C4247" t="s">
        <v>1028</v>
      </c>
      <c r="D4247" t="s">
        <v>121</v>
      </c>
      <c r="E4247" t="s">
        <v>26</v>
      </c>
      <c r="F4247" t="s">
        <v>17</v>
      </c>
      <c r="G4247" t="str">
        <f>"12"</f>
        <v>12</v>
      </c>
      <c r="H4247" t="str">
        <f>"0  "</f>
        <v xml:space="preserve">0  </v>
      </c>
      <c r="I4247" t="str">
        <f>"2020/09/17"</f>
        <v>2020/09/17</v>
      </c>
      <c r="J4247" t="str">
        <f>"503"</f>
        <v>503</v>
      </c>
      <c r="K4247" t="s">
        <v>18</v>
      </c>
      <c r="L4247" t="s">
        <v>18</v>
      </c>
      <c r="M4247" t="s">
        <v>18</v>
      </c>
    </row>
    <row r="4248" spans="1:13" x14ac:dyDescent="0.25">
      <c r="A4248" t="str">
        <f>"00214891"</f>
        <v>00214891</v>
      </c>
      <c r="B4248" t="s">
        <v>2545</v>
      </c>
      <c r="C4248" t="s">
        <v>785</v>
      </c>
      <c r="D4248" t="s">
        <v>61</v>
      </c>
      <c r="E4248" t="s">
        <v>26</v>
      </c>
      <c r="F4248" t="s">
        <v>17</v>
      </c>
      <c r="G4248" t="str">
        <f>"12"</f>
        <v>12</v>
      </c>
      <c r="H4248" t="str">
        <f>"1  "</f>
        <v xml:space="preserve">1  </v>
      </c>
      <c r="I4248" t="str">
        <f>"2020/03/10"</f>
        <v>2020/03/10</v>
      </c>
      <c r="J4248" t="str">
        <f>"503"</f>
        <v>503</v>
      </c>
      <c r="K4248" t="str">
        <f>"20201226"</f>
        <v>20201226</v>
      </c>
      <c r="L4248" t="s">
        <v>18</v>
      </c>
      <c r="M4248" t="str">
        <f>"20200210"</f>
        <v>20200210</v>
      </c>
    </row>
    <row r="4249" spans="1:13" x14ac:dyDescent="0.25">
      <c r="A4249" t="str">
        <f>"00197990"</f>
        <v>00197990</v>
      </c>
      <c r="B4249" t="s">
        <v>2651</v>
      </c>
      <c r="C4249" t="s">
        <v>159</v>
      </c>
      <c r="D4249" t="s">
        <v>215</v>
      </c>
      <c r="E4249" t="s">
        <v>16</v>
      </c>
      <c r="F4249" t="s">
        <v>17</v>
      </c>
      <c r="G4249" t="str">
        <f>"12"</f>
        <v>12</v>
      </c>
      <c r="H4249" t="str">
        <f>"1  "</f>
        <v xml:space="preserve">1  </v>
      </c>
      <c r="I4249" t="str">
        <f>"2020/08/31"</f>
        <v>2020/08/31</v>
      </c>
      <c r="J4249" t="str">
        <f>"110"</f>
        <v>110</v>
      </c>
      <c r="K4249" t="str">
        <f>"20201122"</f>
        <v>20201122</v>
      </c>
      <c r="L4249" t="s">
        <v>18</v>
      </c>
      <c r="M4249" t="str">
        <f>"20200831"</f>
        <v>20200831</v>
      </c>
    </row>
    <row r="4250" spans="1:13" x14ac:dyDescent="0.25">
      <c r="A4250" t="str">
        <f>"00394292"</f>
        <v>00394292</v>
      </c>
      <c r="B4250" t="s">
        <v>2674</v>
      </c>
      <c r="C4250" t="s">
        <v>754</v>
      </c>
      <c r="D4250" t="s">
        <v>47</v>
      </c>
      <c r="E4250" t="s">
        <v>26</v>
      </c>
      <c r="F4250" t="s">
        <v>17</v>
      </c>
      <c r="G4250" t="str">
        <f>"12"</f>
        <v>12</v>
      </c>
      <c r="H4250" t="str">
        <f>"3  "</f>
        <v xml:space="preserve">3  </v>
      </c>
      <c r="I4250" t="str">
        <f>"2020/08/11"</f>
        <v>2020/08/11</v>
      </c>
      <c r="J4250" t="str">
        <f>"503"</f>
        <v>503</v>
      </c>
      <c r="K4250" t="str">
        <f>"20211204"</f>
        <v>20211204</v>
      </c>
      <c r="L4250" t="s">
        <v>18</v>
      </c>
      <c r="M4250" t="str">
        <f>"20150318"</f>
        <v>20150318</v>
      </c>
    </row>
    <row r="4251" spans="1:13" x14ac:dyDescent="0.25">
      <c r="A4251" t="str">
        <f>"00499454"</f>
        <v>00499454</v>
      </c>
      <c r="B4251" t="s">
        <v>2674</v>
      </c>
      <c r="C4251" t="s">
        <v>439</v>
      </c>
      <c r="D4251" t="s">
        <v>25</v>
      </c>
      <c r="E4251" t="s">
        <v>26</v>
      </c>
      <c r="F4251" t="s">
        <v>17</v>
      </c>
      <c r="G4251" t="str">
        <f>"12"</f>
        <v>12</v>
      </c>
      <c r="H4251" t="str">
        <f>"1  "</f>
        <v xml:space="preserve">1  </v>
      </c>
      <c r="I4251" t="str">
        <f>"2020/09/10"</f>
        <v>2020/09/10</v>
      </c>
      <c r="J4251" t="str">
        <f>"502"</f>
        <v>502</v>
      </c>
      <c r="K4251" t="str">
        <f>"20210217"</f>
        <v>20210217</v>
      </c>
      <c r="L4251" t="s">
        <v>18</v>
      </c>
      <c r="M4251" t="str">
        <f>"20200908"</f>
        <v>20200908</v>
      </c>
    </row>
    <row r="4252" spans="1:13" x14ac:dyDescent="0.25">
      <c r="A4252" t="str">
        <f>"00183112"</f>
        <v>00183112</v>
      </c>
      <c r="B4252" t="s">
        <v>2711</v>
      </c>
      <c r="C4252" t="s">
        <v>1153</v>
      </c>
      <c r="D4252" t="s">
        <v>40</v>
      </c>
      <c r="E4252" t="s">
        <v>16</v>
      </c>
      <c r="F4252" t="s">
        <v>17</v>
      </c>
      <c r="G4252" t="str">
        <f>"12"</f>
        <v>12</v>
      </c>
      <c r="H4252" t="str">
        <f>"1  "</f>
        <v xml:space="preserve">1  </v>
      </c>
      <c r="I4252" t="str">
        <f>"2020/09/02"</f>
        <v>2020/09/02</v>
      </c>
      <c r="J4252" t="str">
        <f>"510"</f>
        <v>510</v>
      </c>
      <c r="K4252" t="str">
        <f>"20210118"</f>
        <v>20210118</v>
      </c>
      <c r="L4252" t="s">
        <v>18</v>
      </c>
      <c r="M4252" t="str">
        <f>"20200807"</f>
        <v>20200807</v>
      </c>
    </row>
    <row r="4253" spans="1:13" x14ac:dyDescent="0.25">
      <c r="A4253" t="str">
        <f>"00226388"</f>
        <v>00226388</v>
      </c>
      <c r="B4253" t="s">
        <v>2749</v>
      </c>
      <c r="C4253" t="s">
        <v>55</v>
      </c>
      <c r="D4253" t="s">
        <v>37</v>
      </c>
      <c r="E4253" t="s">
        <v>16</v>
      </c>
      <c r="F4253" t="s">
        <v>17</v>
      </c>
      <c r="G4253" t="str">
        <f>"12"</f>
        <v>12</v>
      </c>
      <c r="H4253" t="str">
        <f>"1  "</f>
        <v xml:space="preserve">1  </v>
      </c>
      <c r="I4253" t="str">
        <f>"2020/09/22"</f>
        <v>2020/09/22</v>
      </c>
      <c r="J4253" t="str">
        <f>"120"</f>
        <v>120</v>
      </c>
      <c r="K4253" t="s">
        <v>18</v>
      </c>
      <c r="L4253" t="s">
        <v>18</v>
      </c>
      <c r="M4253" t="s">
        <v>18</v>
      </c>
    </row>
    <row r="4254" spans="1:13" x14ac:dyDescent="0.25">
      <c r="A4254" t="str">
        <f>"00626681"</f>
        <v>00626681</v>
      </c>
      <c r="B4254" t="s">
        <v>2821</v>
      </c>
      <c r="C4254" t="s">
        <v>777</v>
      </c>
      <c r="D4254" t="s">
        <v>25</v>
      </c>
      <c r="E4254" t="s">
        <v>16</v>
      </c>
      <c r="F4254" t="s">
        <v>17</v>
      </c>
      <c r="G4254" t="str">
        <f>"12"</f>
        <v>12</v>
      </c>
      <c r="H4254" t="str">
        <f>"1  "</f>
        <v xml:space="preserve">1  </v>
      </c>
      <c r="I4254" t="str">
        <f>"2020/08/25"</f>
        <v>2020/08/25</v>
      </c>
      <c r="J4254" t="str">
        <f>"110"</f>
        <v>110</v>
      </c>
      <c r="K4254" t="str">
        <f>"20201115"</f>
        <v>20201115</v>
      </c>
      <c r="L4254" t="s">
        <v>18</v>
      </c>
      <c r="M4254" t="str">
        <f>"20200825"</f>
        <v>20200825</v>
      </c>
    </row>
    <row r="4255" spans="1:13" x14ac:dyDescent="0.25">
      <c r="A4255" t="str">
        <f>"00595692"</f>
        <v>00595692</v>
      </c>
      <c r="B4255" t="s">
        <v>2874</v>
      </c>
      <c r="C4255" t="s">
        <v>327</v>
      </c>
      <c r="D4255" t="s">
        <v>80</v>
      </c>
      <c r="E4255" t="s">
        <v>26</v>
      </c>
      <c r="F4255" t="s">
        <v>17</v>
      </c>
      <c r="G4255" t="str">
        <f>"12"</f>
        <v>12</v>
      </c>
      <c r="H4255" t="str">
        <f>"3  "</f>
        <v xml:space="preserve">3  </v>
      </c>
      <c r="I4255" t="str">
        <f>"2020/09/08"</f>
        <v>2020/09/08</v>
      </c>
      <c r="J4255" t="str">
        <f>"505"</f>
        <v>505</v>
      </c>
      <c r="K4255" t="str">
        <f>"20210128"</f>
        <v>20210128</v>
      </c>
      <c r="L4255" t="s">
        <v>18</v>
      </c>
      <c r="M4255" t="str">
        <f>"20180209"</f>
        <v>20180209</v>
      </c>
    </row>
    <row r="4256" spans="1:13" x14ac:dyDescent="0.25">
      <c r="A4256" t="str">
        <f>"00344177"</f>
        <v>00344177</v>
      </c>
      <c r="B4256" t="s">
        <v>2885</v>
      </c>
      <c r="C4256" t="s">
        <v>74</v>
      </c>
      <c r="D4256" t="s">
        <v>51</v>
      </c>
      <c r="E4256" t="s">
        <v>16</v>
      </c>
      <c r="F4256" t="s">
        <v>17</v>
      </c>
      <c r="G4256" t="str">
        <f>"12"</f>
        <v>12</v>
      </c>
      <c r="H4256" t="str">
        <f>"0  "</f>
        <v xml:space="preserve">0  </v>
      </c>
      <c r="I4256" t="str">
        <f>"2020/09/17"</f>
        <v>2020/09/17</v>
      </c>
      <c r="J4256" t="str">
        <f>"503"</f>
        <v>503</v>
      </c>
      <c r="K4256" t="s">
        <v>18</v>
      </c>
      <c r="L4256" t="s">
        <v>18</v>
      </c>
      <c r="M4256" t="s">
        <v>18</v>
      </c>
    </row>
    <row r="4257" spans="1:13" x14ac:dyDescent="0.25">
      <c r="A4257" t="str">
        <f>"00375683"</f>
        <v>00375683</v>
      </c>
      <c r="B4257" t="s">
        <v>2894</v>
      </c>
      <c r="C4257" t="s">
        <v>122</v>
      </c>
      <c r="D4257" t="s">
        <v>40</v>
      </c>
      <c r="E4257" t="s">
        <v>16</v>
      </c>
      <c r="F4257" t="s">
        <v>17</v>
      </c>
      <c r="G4257" t="str">
        <f>"12"</f>
        <v>12</v>
      </c>
      <c r="H4257" t="str">
        <f>"1  "</f>
        <v xml:space="preserve">1  </v>
      </c>
      <c r="I4257" t="str">
        <f>"2020/08/10"</f>
        <v>2020/08/10</v>
      </c>
      <c r="J4257" t="str">
        <f>"510"</f>
        <v>510</v>
      </c>
      <c r="K4257" t="str">
        <f>"20201022"</f>
        <v>20201022</v>
      </c>
      <c r="L4257" t="s">
        <v>18</v>
      </c>
      <c r="M4257" t="str">
        <f>"20200805"</f>
        <v>20200805</v>
      </c>
    </row>
    <row r="4258" spans="1:13" x14ac:dyDescent="0.25">
      <c r="A4258" t="str">
        <f>"00539645"</f>
        <v>00539645</v>
      </c>
      <c r="B4258" t="s">
        <v>2901</v>
      </c>
      <c r="C4258" t="s">
        <v>348</v>
      </c>
      <c r="D4258" t="s">
        <v>15</v>
      </c>
      <c r="E4258" t="s">
        <v>16</v>
      </c>
      <c r="F4258" t="s">
        <v>17</v>
      </c>
      <c r="G4258" t="str">
        <f>"12"</f>
        <v>12</v>
      </c>
      <c r="H4258" t="str">
        <f>"1  "</f>
        <v xml:space="preserve">1  </v>
      </c>
      <c r="I4258" t="str">
        <f>"2020/09/10"</f>
        <v>2020/09/10</v>
      </c>
      <c r="J4258" t="str">
        <f>"503"</f>
        <v>503</v>
      </c>
      <c r="K4258" t="str">
        <f>"20201005"</f>
        <v>20201005</v>
      </c>
      <c r="L4258" t="s">
        <v>18</v>
      </c>
      <c r="M4258" t="str">
        <f>"20200908"</f>
        <v>20200908</v>
      </c>
    </row>
    <row r="4259" spans="1:13" x14ac:dyDescent="0.25">
      <c r="A4259" t="str">
        <f>"00320972"</f>
        <v>00320972</v>
      </c>
      <c r="B4259" t="s">
        <v>2934</v>
      </c>
      <c r="C4259" t="s">
        <v>2939</v>
      </c>
      <c r="D4259" t="s">
        <v>51</v>
      </c>
      <c r="E4259" t="s">
        <v>26</v>
      </c>
      <c r="F4259" t="s">
        <v>17</v>
      </c>
      <c r="G4259" t="str">
        <f>"12"</f>
        <v>12</v>
      </c>
      <c r="H4259" t="str">
        <f>"0  "</f>
        <v xml:space="preserve">0  </v>
      </c>
      <c r="I4259" t="str">
        <f>"2020/08/14"</f>
        <v>2020/08/14</v>
      </c>
      <c r="J4259" t="str">
        <f>"420"</f>
        <v>420</v>
      </c>
      <c r="K4259" t="s">
        <v>18</v>
      </c>
      <c r="L4259" t="s">
        <v>18</v>
      </c>
      <c r="M4259" t="s">
        <v>18</v>
      </c>
    </row>
    <row r="4260" spans="1:13" x14ac:dyDescent="0.25">
      <c r="A4260" t="str">
        <f>"00624123"</f>
        <v>00624123</v>
      </c>
      <c r="B4260" t="s">
        <v>3010</v>
      </c>
      <c r="C4260" t="s">
        <v>658</v>
      </c>
      <c r="D4260" t="s">
        <v>15</v>
      </c>
      <c r="E4260" t="s">
        <v>16</v>
      </c>
      <c r="F4260" t="s">
        <v>17</v>
      </c>
      <c r="G4260" t="str">
        <f>"12"</f>
        <v>12</v>
      </c>
      <c r="H4260" t="str">
        <f>"0  "</f>
        <v xml:space="preserve">0  </v>
      </c>
      <c r="I4260" t="str">
        <f>"2020/08/10"</f>
        <v>2020/08/10</v>
      </c>
      <c r="J4260" t="str">
        <f>"420"</f>
        <v>420</v>
      </c>
      <c r="K4260" t="s">
        <v>18</v>
      </c>
      <c r="L4260" t="s">
        <v>18</v>
      </c>
      <c r="M4260" t="s">
        <v>18</v>
      </c>
    </row>
    <row r="4261" spans="1:13" x14ac:dyDescent="0.25">
      <c r="A4261" t="str">
        <f>"00696334"</f>
        <v>00696334</v>
      </c>
      <c r="B4261" t="s">
        <v>3020</v>
      </c>
      <c r="C4261" t="s">
        <v>72</v>
      </c>
      <c r="D4261" t="s">
        <v>80</v>
      </c>
      <c r="E4261" t="s">
        <v>16</v>
      </c>
      <c r="F4261" t="s">
        <v>17</v>
      </c>
      <c r="G4261" t="str">
        <f>"12"</f>
        <v>12</v>
      </c>
      <c r="H4261" t="str">
        <f>"1  "</f>
        <v xml:space="preserve">1  </v>
      </c>
      <c r="I4261" t="str">
        <f>"2020/07/31"</f>
        <v>2020/07/31</v>
      </c>
      <c r="J4261" t="str">
        <f>"110"</f>
        <v>110</v>
      </c>
      <c r="K4261" t="str">
        <f>"20210305"</f>
        <v>20210305</v>
      </c>
      <c r="L4261" t="s">
        <v>18</v>
      </c>
      <c r="M4261" t="str">
        <f>"20200727"</f>
        <v>20200727</v>
      </c>
    </row>
    <row r="4262" spans="1:13" x14ac:dyDescent="0.25">
      <c r="A4262" t="str">
        <f>"00885634"</f>
        <v>00885634</v>
      </c>
      <c r="B4262" t="s">
        <v>3020</v>
      </c>
      <c r="C4262" t="s">
        <v>3024</v>
      </c>
      <c r="D4262" t="s">
        <v>21</v>
      </c>
      <c r="E4262" t="s">
        <v>26</v>
      </c>
      <c r="F4262" t="s">
        <v>17</v>
      </c>
      <c r="G4262" t="str">
        <f>"12"</f>
        <v>12</v>
      </c>
      <c r="H4262" t="str">
        <f>"3  "</f>
        <v xml:space="preserve">3  </v>
      </c>
      <c r="I4262" t="str">
        <f>"2020/09/08"</f>
        <v>2020/09/08</v>
      </c>
      <c r="J4262" t="str">
        <f>"505"</f>
        <v>505</v>
      </c>
      <c r="K4262" t="str">
        <f>"20210128"</f>
        <v>20210128</v>
      </c>
      <c r="L4262" t="s">
        <v>18</v>
      </c>
      <c r="M4262" t="str">
        <f>"20190511"</f>
        <v>20190511</v>
      </c>
    </row>
    <row r="4263" spans="1:13" x14ac:dyDescent="0.25">
      <c r="A4263" t="str">
        <f>"00330483"</f>
        <v>00330483</v>
      </c>
      <c r="B4263" t="s">
        <v>3060</v>
      </c>
      <c r="C4263" t="s">
        <v>140</v>
      </c>
      <c r="D4263" t="s">
        <v>21</v>
      </c>
      <c r="E4263" t="s">
        <v>16</v>
      </c>
      <c r="F4263" t="s">
        <v>17</v>
      </c>
      <c r="G4263" t="str">
        <f>"12"</f>
        <v>12</v>
      </c>
      <c r="H4263" t="str">
        <f>"1  "</f>
        <v xml:space="preserve">1  </v>
      </c>
      <c r="I4263" t="str">
        <f>"2020/07/30"</f>
        <v>2020/07/30</v>
      </c>
      <c r="J4263" t="str">
        <f>"503"</f>
        <v>503</v>
      </c>
      <c r="K4263" t="str">
        <f>"20201005"</f>
        <v>20201005</v>
      </c>
      <c r="L4263" t="s">
        <v>18</v>
      </c>
      <c r="M4263" t="str">
        <f>"20200722"</f>
        <v>20200722</v>
      </c>
    </row>
    <row r="4264" spans="1:13" x14ac:dyDescent="0.25">
      <c r="A4264" t="str">
        <f>"00157576"</f>
        <v>00157576</v>
      </c>
      <c r="B4264" t="s">
        <v>3074</v>
      </c>
      <c r="C4264" t="s">
        <v>136</v>
      </c>
      <c r="D4264" t="s">
        <v>25</v>
      </c>
      <c r="E4264" t="s">
        <v>16</v>
      </c>
      <c r="F4264" t="s">
        <v>17</v>
      </c>
      <c r="G4264" t="str">
        <f>"12"</f>
        <v>12</v>
      </c>
      <c r="H4264" t="str">
        <f>"0  "</f>
        <v xml:space="preserve">0  </v>
      </c>
      <c r="I4264" t="str">
        <f>"2020/09/22"</f>
        <v>2020/09/22</v>
      </c>
      <c r="J4264" t="str">
        <f>"510"</f>
        <v>510</v>
      </c>
      <c r="K4264" t="s">
        <v>18</v>
      </c>
      <c r="L4264" t="s">
        <v>18</v>
      </c>
      <c r="M4264" t="s">
        <v>18</v>
      </c>
    </row>
    <row r="4265" spans="1:13" x14ac:dyDescent="0.25">
      <c r="A4265" t="str">
        <f>"00398429"</f>
        <v>00398429</v>
      </c>
      <c r="B4265" t="s">
        <v>3102</v>
      </c>
      <c r="C4265" t="s">
        <v>191</v>
      </c>
      <c r="D4265" t="s">
        <v>61</v>
      </c>
      <c r="E4265" t="s">
        <v>26</v>
      </c>
      <c r="F4265" t="s">
        <v>17</v>
      </c>
      <c r="G4265" t="str">
        <f>"12"</f>
        <v>12</v>
      </c>
      <c r="H4265" t="str">
        <f>"0  "</f>
        <v xml:space="preserve">0  </v>
      </c>
      <c r="I4265" t="str">
        <f>"2020/07/23"</f>
        <v>2020/07/23</v>
      </c>
      <c r="J4265" t="str">
        <f>"510"</f>
        <v>510</v>
      </c>
      <c r="K4265" t="s">
        <v>18</v>
      </c>
      <c r="L4265" t="s">
        <v>18</v>
      </c>
      <c r="M4265" t="s">
        <v>18</v>
      </c>
    </row>
    <row r="4266" spans="1:13" x14ac:dyDescent="0.25">
      <c r="A4266" t="str">
        <f>"00626712"</f>
        <v>00626712</v>
      </c>
      <c r="B4266" t="s">
        <v>3106</v>
      </c>
      <c r="C4266" t="s">
        <v>3107</v>
      </c>
      <c r="D4266" t="s">
        <v>121</v>
      </c>
      <c r="E4266" t="s">
        <v>26</v>
      </c>
      <c r="F4266" t="s">
        <v>17</v>
      </c>
      <c r="G4266" t="str">
        <f>"12"</f>
        <v>12</v>
      </c>
      <c r="H4266" t="str">
        <f>"1  "</f>
        <v xml:space="preserve">1  </v>
      </c>
      <c r="I4266" t="str">
        <f>"2018/11/05"</f>
        <v>2018/11/05</v>
      </c>
      <c r="J4266" t="str">
        <f>"110"</f>
        <v>110</v>
      </c>
      <c r="K4266" t="str">
        <f>"20191104"</f>
        <v>20191104</v>
      </c>
      <c r="L4266" t="s">
        <v>18</v>
      </c>
      <c r="M4266" t="str">
        <f>"20181105"</f>
        <v>20181105</v>
      </c>
    </row>
    <row r="4267" spans="1:13" x14ac:dyDescent="0.25">
      <c r="A4267" t="str">
        <f>"00207885"</f>
        <v>00207885</v>
      </c>
      <c r="B4267" t="s">
        <v>3118</v>
      </c>
      <c r="C4267" t="s">
        <v>165</v>
      </c>
      <c r="D4267" t="s">
        <v>91</v>
      </c>
      <c r="E4267" t="s">
        <v>16</v>
      </c>
      <c r="F4267" t="s">
        <v>17</v>
      </c>
      <c r="G4267" t="str">
        <f>"12"</f>
        <v>12</v>
      </c>
      <c r="H4267" t="str">
        <f>"0  "</f>
        <v xml:space="preserve">0  </v>
      </c>
      <c r="I4267" t="str">
        <f>"2020/09/21"</f>
        <v>2020/09/21</v>
      </c>
      <c r="J4267" t="str">
        <f>"420"</f>
        <v>420</v>
      </c>
      <c r="K4267" t="s">
        <v>18</v>
      </c>
      <c r="L4267" t="s">
        <v>18</v>
      </c>
      <c r="M4267" t="s">
        <v>18</v>
      </c>
    </row>
    <row r="4268" spans="1:13" x14ac:dyDescent="0.25">
      <c r="A4268" t="str">
        <f>"00758564"</f>
        <v>00758564</v>
      </c>
      <c r="B4268" t="s">
        <v>3142</v>
      </c>
      <c r="C4268" t="s">
        <v>280</v>
      </c>
      <c r="D4268" t="s">
        <v>25</v>
      </c>
      <c r="E4268" t="s">
        <v>26</v>
      </c>
      <c r="F4268" t="s">
        <v>17</v>
      </c>
      <c r="G4268" t="str">
        <f>"12"</f>
        <v>12</v>
      </c>
      <c r="H4268" t="str">
        <f>"0  "</f>
        <v xml:space="preserve">0  </v>
      </c>
      <c r="I4268" t="str">
        <f>"2020/09/03"</f>
        <v>2020/09/03</v>
      </c>
      <c r="J4268" t="str">
        <f>"510"</f>
        <v>510</v>
      </c>
      <c r="K4268" t="s">
        <v>18</v>
      </c>
      <c r="L4268" t="s">
        <v>18</v>
      </c>
      <c r="M4268" t="s">
        <v>18</v>
      </c>
    </row>
    <row r="4269" spans="1:13" x14ac:dyDescent="0.25">
      <c r="A4269" t="str">
        <f>"00645572"</f>
        <v>00645572</v>
      </c>
      <c r="B4269" t="s">
        <v>3179</v>
      </c>
      <c r="C4269" t="s">
        <v>3182</v>
      </c>
      <c r="D4269" t="s">
        <v>31</v>
      </c>
      <c r="E4269" t="s">
        <v>26</v>
      </c>
      <c r="F4269" t="s">
        <v>17</v>
      </c>
      <c r="G4269" t="str">
        <f>"12"</f>
        <v>12</v>
      </c>
      <c r="H4269" t="str">
        <f>"0  "</f>
        <v xml:space="preserve">0  </v>
      </c>
      <c r="I4269" t="str">
        <f>"2020/08/13"</f>
        <v>2020/08/13</v>
      </c>
      <c r="J4269" t="str">
        <f>"510"</f>
        <v>510</v>
      </c>
      <c r="K4269" t="s">
        <v>18</v>
      </c>
      <c r="L4269" t="s">
        <v>18</v>
      </c>
      <c r="M4269" t="s">
        <v>18</v>
      </c>
    </row>
    <row r="4270" spans="1:13" x14ac:dyDescent="0.25">
      <c r="A4270" t="str">
        <f>"00286227"</f>
        <v>00286227</v>
      </c>
      <c r="B4270" t="s">
        <v>3206</v>
      </c>
      <c r="C4270" t="s">
        <v>74</v>
      </c>
      <c r="D4270" t="s">
        <v>15</v>
      </c>
      <c r="E4270" t="s">
        <v>16</v>
      </c>
      <c r="F4270" t="s">
        <v>17</v>
      </c>
      <c r="G4270" t="str">
        <f>"12"</f>
        <v>12</v>
      </c>
      <c r="H4270" t="str">
        <f>"0  "</f>
        <v xml:space="preserve">0  </v>
      </c>
      <c r="I4270" t="str">
        <f>"2020/09/09"</f>
        <v>2020/09/09</v>
      </c>
      <c r="J4270" t="str">
        <f>"420"</f>
        <v>420</v>
      </c>
      <c r="K4270" t="s">
        <v>18</v>
      </c>
      <c r="L4270" t="s">
        <v>18</v>
      </c>
      <c r="M4270" t="s">
        <v>18</v>
      </c>
    </row>
    <row r="4271" spans="1:13" x14ac:dyDescent="0.25">
      <c r="A4271" t="str">
        <f>"00730432"</f>
        <v>00730432</v>
      </c>
      <c r="B4271" t="s">
        <v>3214</v>
      </c>
      <c r="C4271" t="s">
        <v>346</v>
      </c>
      <c r="D4271" t="s">
        <v>215</v>
      </c>
      <c r="E4271" t="s">
        <v>16</v>
      </c>
      <c r="F4271" t="s">
        <v>17</v>
      </c>
      <c r="G4271" t="str">
        <f>"12"</f>
        <v>12</v>
      </c>
      <c r="H4271" t="str">
        <f>"1  "</f>
        <v xml:space="preserve">1  </v>
      </c>
      <c r="I4271" t="str">
        <f>"2020/09/10"</f>
        <v>2020/09/10</v>
      </c>
      <c r="J4271" t="str">
        <f>"502"</f>
        <v>502</v>
      </c>
      <c r="K4271" t="str">
        <f>"20210211"</f>
        <v>20210211</v>
      </c>
      <c r="L4271" t="s">
        <v>18</v>
      </c>
      <c r="M4271" t="str">
        <f>"20200901"</f>
        <v>20200901</v>
      </c>
    </row>
    <row r="4272" spans="1:13" x14ac:dyDescent="0.25">
      <c r="A4272" t="str">
        <f>"00648548"</f>
        <v>00648548</v>
      </c>
      <c r="B4272" t="s">
        <v>3231</v>
      </c>
      <c r="C4272" t="s">
        <v>1909</v>
      </c>
      <c r="D4272" t="s">
        <v>51</v>
      </c>
      <c r="E4272" t="s">
        <v>16</v>
      </c>
      <c r="F4272" t="s">
        <v>17</v>
      </c>
      <c r="G4272" t="str">
        <f>"12"</f>
        <v>12</v>
      </c>
      <c r="H4272" t="str">
        <f>"3  "</f>
        <v xml:space="preserve">3  </v>
      </c>
      <c r="I4272" t="str">
        <f>"2020/03/13"</f>
        <v>2020/03/13</v>
      </c>
      <c r="J4272" t="str">
        <f>"503"</f>
        <v>503</v>
      </c>
      <c r="K4272" t="str">
        <f>"20210704"</f>
        <v>20210704</v>
      </c>
      <c r="L4272" t="s">
        <v>18</v>
      </c>
      <c r="M4272" t="str">
        <f>"20200309"</f>
        <v>20200309</v>
      </c>
    </row>
    <row r="4273" spans="1:13" x14ac:dyDescent="0.25">
      <c r="A4273" t="str">
        <f>"00587061"</f>
        <v>00587061</v>
      </c>
      <c r="B4273" t="s">
        <v>3299</v>
      </c>
      <c r="C4273" t="s">
        <v>3300</v>
      </c>
      <c r="D4273" t="s">
        <v>25</v>
      </c>
      <c r="E4273" t="s">
        <v>26</v>
      </c>
      <c r="F4273" t="s">
        <v>17</v>
      </c>
      <c r="G4273" t="str">
        <f>"12"</f>
        <v>12</v>
      </c>
      <c r="H4273" t="str">
        <f>"1  "</f>
        <v xml:space="preserve">1  </v>
      </c>
      <c r="I4273" t="str">
        <f>"2020/09/04"</f>
        <v>2020/09/04</v>
      </c>
      <c r="J4273" t="str">
        <f>"503"</f>
        <v>503</v>
      </c>
      <c r="K4273" t="str">
        <f>"20210213"</f>
        <v>20210213</v>
      </c>
      <c r="L4273" t="s">
        <v>18</v>
      </c>
      <c r="M4273" t="str">
        <f>"20200904"</f>
        <v>20200904</v>
      </c>
    </row>
    <row r="4274" spans="1:13" x14ac:dyDescent="0.25">
      <c r="A4274" t="str">
        <f>"00159054"</f>
        <v>00159054</v>
      </c>
      <c r="B4274" t="s">
        <v>3301</v>
      </c>
      <c r="C4274" t="s">
        <v>74</v>
      </c>
      <c r="D4274" t="s">
        <v>15</v>
      </c>
      <c r="E4274" t="s">
        <v>26</v>
      </c>
      <c r="F4274" t="s">
        <v>17</v>
      </c>
      <c r="G4274" t="str">
        <f>"12"</f>
        <v>12</v>
      </c>
      <c r="H4274" t="str">
        <f>"0  "</f>
        <v xml:space="preserve">0  </v>
      </c>
      <c r="I4274" t="str">
        <f>"2020/09/17"</f>
        <v>2020/09/17</v>
      </c>
      <c r="J4274" t="str">
        <f>"503"</f>
        <v>503</v>
      </c>
      <c r="K4274" t="s">
        <v>18</v>
      </c>
      <c r="L4274" t="s">
        <v>18</v>
      </c>
      <c r="M4274" t="s">
        <v>18</v>
      </c>
    </row>
    <row r="4275" spans="1:13" x14ac:dyDescent="0.25">
      <c r="A4275" t="str">
        <f>"00483547"</f>
        <v>00483547</v>
      </c>
      <c r="B4275" t="s">
        <v>3311</v>
      </c>
      <c r="C4275" t="s">
        <v>189</v>
      </c>
      <c r="D4275" t="s">
        <v>61</v>
      </c>
      <c r="E4275" t="s">
        <v>16</v>
      </c>
      <c r="F4275" t="s">
        <v>17</v>
      </c>
      <c r="G4275" t="str">
        <f>"12"</f>
        <v>12</v>
      </c>
      <c r="H4275" t="str">
        <f>"1  "</f>
        <v xml:space="preserve">1  </v>
      </c>
      <c r="I4275" t="str">
        <f>"2020/08/26"</f>
        <v>2020/08/26</v>
      </c>
      <c r="J4275" t="str">
        <f>"120"</f>
        <v>120</v>
      </c>
      <c r="K4275" t="str">
        <f>"20210824"</f>
        <v>20210824</v>
      </c>
      <c r="L4275" t="s">
        <v>18</v>
      </c>
      <c r="M4275" t="str">
        <f>"20200825"</f>
        <v>20200825</v>
      </c>
    </row>
    <row r="4276" spans="1:13" x14ac:dyDescent="0.25">
      <c r="A4276" t="str">
        <f>"00418007"</f>
        <v>00418007</v>
      </c>
      <c r="B4276" t="s">
        <v>3335</v>
      </c>
      <c r="C4276" t="s">
        <v>136</v>
      </c>
      <c r="D4276" t="s">
        <v>15</v>
      </c>
      <c r="E4276" t="s">
        <v>16</v>
      </c>
      <c r="F4276" t="s">
        <v>17</v>
      </c>
      <c r="G4276" t="str">
        <f>"12"</f>
        <v>12</v>
      </c>
      <c r="H4276" t="str">
        <f>"0  "</f>
        <v xml:space="preserve">0  </v>
      </c>
      <c r="I4276" t="str">
        <f>"2020/08/13"</f>
        <v>2020/08/13</v>
      </c>
      <c r="J4276" t="str">
        <f>"510"</f>
        <v>510</v>
      </c>
      <c r="K4276" t="s">
        <v>18</v>
      </c>
      <c r="L4276" t="s">
        <v>18</v>
      </c>
      <c r="M4276" t="s">
        <v>18</v>
      </c>
    </row>
    <row r="4277" spans="1:13" x14ac:dyDescent="0.25">
      <c r="A4277" t="str">
        <f>"00443902"</f>
        <v>00443902</v>
      </c>
      <c r="B4277" t="s">
        <v>3402</v>
      </c>
      <c r="C4277" t="s">
        <v>269</v>
      </c>
      <c r="D4277" t="s">
        <v>80</v>
      </c>
      <c r="E4277" t="s">
        <v>16</v>
      </c>
      <c r="F4277" t="s">
        <v>17</v>
      </c>
      <c r="G4277" t="str">
        <f>"12"</f>
        <v>12</v>
      </c>
      <c r="H4277" t="str">
        <f>"0  "</f>
        <v xml:space="preserve">0  </v>
      </c>
      <c r="I4277" t="str">
        <f>"2020/09/17"</f>
        <v>2020/09/17</v>
      </c>
      <c r="J4277" t="str">
        <f>"503"</f>
        <v>503</v>
      </c>
      <c r="K4277" t="s">
        <v>18</v>
      </c>
      <c r="L4277" t="s">
        <v>18</v>
      </c>
      <c r="M4277" t="s">
        <v>18</v>
      </c>
    </row>
    <row r="4278" spans="1:13" x14ac:dyDescent="0.25">
      <c r="A4278" t="str">
        <f>"00493927"</f>
        <v>00493927</v>
      </c>
      <c r="B4278" t="s">
        <v>3412</v>
      </c>
      <c r="C4278" t="s">
        <v>936</v>
      </c>
      <c r="D4278" t="s">
        <v>40</v>
      </c>
      <c r="E4278" t="s">
        <v>26</v>
      </c>
      <c r="F4278" t="s">
        <v>17</v>
      </c>
      <c r="G4278" t="str">
        <f>"12"</f>
        <v>12</v>
      </c>
      <c r="H4278" t="str">
        <f>"1  "</f>
        <v xml:space="preserve">1  </v>
      </c>
      <c r="I4278" t="str">
        <f>"2020/09/03"</f>
        <v>2020/09/03</v>
      </c>
      <c r="J4278" t="str">
        <f>"503"</f>
        <v>503</v>
      </c>
      <c r="K4278" t="str">
        <f>"20201101"</f>
        <v>20201101</v>
      </c>
      <c r="L4278" t="s">
        <v>18</v>
      </c>
      <c r="M4278" t="str">
        <f>"20191126"</f>
        <v>20191126</v>
      </c>
    </row>
    <row r="4279" spans="1:13" x14ac:dyDescent="0.25">
      <c r="A4279" t="str">
        <f>"00520219"</f>
        <v>00520219</v>
      </c>
      <c r="B4279" t="s">
        <v>3434</v>
      </c>
      <c r="C4279" t="s">
        <v>384</v>
      </c>
      <c r="D4279" t="s">
        <v>80</v>
      </c>
      <c r="E4279" t="s">
        <v>16</v>
      </c>
      <c r="F4279" t="s">
        <v>17</v>
      </c>
      <c r="G4279" t="str">
        <f>"12"</f>
        <v>12</v>
      </c>
      <c r="H4279" t="str">
        <f>"1  "</f>
        <v xml:space="preserve">1  </v>
      </c>
      <c r="I4279" t="str">
        <f>"2020/08/18"</f>
        <v>2020/08/18</v>
      </c>
      <c r="J4279" t="str">
        <f>"503"</f>
        <v>503</v>
      </c>
      <c r="K4279" t="str">
        <f>"20210102"</f>
        <v>20210102</v>
      </c>
      <c r="L4279" t="s">
        <v>18</v>
      </c>
      <c r="M4279" t="str">
        <f>"20200724"</f>
        <v>20200724</v>
      </c>
    </row>
    <row r="4280" spans="1:13" x14ac:dyDescent="0.25">
      <c r="A4280" t="str">
        <f>"00198400"</f>
        <v>00198400</v>
      </c>
      <c r="B4280" t="s">
        <v>3553</v>
      </c>
      <c r="C4280" t="s">
        <v>3554</v>
      </c>
      <c r="D4280" t="s">
        <v>21</v>
      </c>
      <c r="E4280" t="s">
        <v>26</v>
      </c>
      <c r="F4280" t="s">
        <v>17</v>
      </c>
      <c r="G4280" t="str">
        <f>"12"</f>
        <v>12</v>
      </c>
      <c r="H4280" t="str">
        <f>"1  "</f>
        <v xml:space="preserve">1  </v>
      </c>
      <c r="I4280" t="str">
        <f>"2020/05/26"</f>
        <v>2020/05/26</v>
      </c>
      <c r="J4280" t="str">
        <f>"503"</f>
        <v>503</v>
      </c>
      <c r="K4280" t="str">
        <f>"20201019"</f>
        <v>20201019</v>
      </c>
      <c r="L4280" t="s">
        <v>18</v>
      </c>
      <c r="M4280" t="str">
        <f>"20200523"</f>
        <v>20200523</v>
      </c>
    </row>
    <row r="4281" spans="1:13" x14ac:dyDescent="0.25">
      <c r="A4281" t="str">
        <f>"00525026"</f>
        <v>00525026</v>
      </c>
      <c r="B4281" t="s">
        <v>3567</v>
      </c>
      <c r="C4281" t="s">
        <v>936</v>
      </c>
      <c r="D4281" t="s">
        <v>53</v>
      </c>
      <c r="E4281" t="s">
        <v>16</v>
      </c>
      <c r="F4281" t="s">
        <v>17</v>
      </c>
      <c r="G4281" t="str">
        <f>"12"</f>
        <v>12</v>
      </c>
      <c r="H4281" t="str">
        <f>"0  "</f>
        <v xml:space="preserve">0  </v>
      </c>
      <c r="I4281" t="str">
        <f>"2020/09/11"</f>
        <v>2020/09/11</v>
      </c>
      <c r="J4281" t="str">
        <f>"510"</f>
        <v>510</v>
      </c>
      <c r="K4281" t="s">
        <v>18</v>
      </c>
      <c r="L4281" t="s">
        <v>18</v>
      </c>
      <c r="M4281" t="s">
        <v>18</v>
      </c>
    </row>
    <row r="4282" spans="1:13" x14ac:dyDescent="0.25">
      <c r="A4282" t="str">
        <f>"00547269"</f>
        <v>00547269</v>
      </c>
      <c r="B4282" t="s">
        <v>3588</v>
      </c>
      <c r="C4282" t="s">
        <v>118</v>
      </c>
      <c r="D4282" t="s">
        <v>16</v>
      </c>
      <c r="E4282" t="s">
        <v>26</v>
      </c>
      <c r="F4282" t="s">
        <v>17</v>
      </c>
      <c r="G4282" t="str">
        <f>"12"</f>
        <v>12</v>
      </c>
      <c r="H4282" t="str">
        <f>"3  "</f>
        <v xml:space="preserve">3  </v>
      </c>
      <c r="I4282" t="str">
        <f>"2020/09/10"</f>
        <v>2020/09/10</v>
      </c>
      <c r="J4282" t="str">
        <f>"110"</f>
        <v>110</v>
      </c>
      <c r="K4282" t="str">
        <f>"20220309"</f>
        <v>20220309</v>
      </c>
      <c r="L4282" t="s">
        <v>18</v>
      </c>
      <c r="M4282" t="str">
        <f>"20200910"</f>
        <v>20200910</v>
      </c>
    </row>
    <row r="4283" spans="1:13" x14ac:dyDescent="0.25">
      <c r="A4283" t="str">
        <f>"00441219"</f>
        <v>00441219</v>
      </c>
      <c r="B4283" t="s">
        <v>3649</v>
      </c>
      <c r="C4283" t="s">
        <v>397</v>
      </c>
      <c r="D4283" t="s">
        <v>40</v>
      </c>
      <c r="E4283" t="s">
        <v>16</v>
      </c>
      <c r="F4283" t="s">
        <v>17</v>
      </c>
      <c r="G4283" t="str">
        <f>"12"</f>
        <v>12</v>
      </c>
      <c r="H4283" t="str">
        <f>"0  "</f>
        <v xml:space="preserve">0  </v>
      </c>
      <c r="I4283" t="str">
        <f>"2020/09/16"</f>
        <v>2020/09/16</v>
      </c>
      <c r="J4283" t="str">
        <f>"420"</f>
        <v>420</v>
      </c>
      <c r="K4283" t="s">
        <v>18</v>
      </c>
      <c r="L4283" t="s">
        <v>18</v>
      </c>
      <c r="M4283" t="s">
        <v>18</v>
      </c>
    </row>
    <row r="4284" spans="1:13" x14ac:dyDescent="0.25">
      <c r="A4284" t="str">
        <f>"00516827"</f>
        <v>00516827</v>
      </c>
      <c r="B4284" t="s">
        <v>3669</v>
      </c>
      <c r="C4284" t="s">
        <v>3670</v>
      </c>
      <c r="D4284" t="s">
        <v>25</v>
      </c>
      <c r="E4284" t="s">
        <v>26</v>
      </c>
      <c r="F4284" t="s">
        <v>17</v>
      </c>
      <c r="G4284" t="str">
        <f>"12"</f>
        <v>12</v>
      </c>
      <c r="H4284" t="str">
        <f>"1  "</f>
        <v xml:space="preserve">1  </v>
      </c>
      <c r="I4284" t="str">
        <f>"2020/09/15"</f>
        <v>2020/09/15</v>
      </c>
      <c r="J4284" t="str">
        <f>"502"</f>
        <v>502</v>
      </c>
      <c r="K4284" t="str">
        <f>"20210807"</f>
        <v>20210807</v>
      </c>
      <c r="L4284" t="s">
        <v>18</v>
      </c>
      <c r="M4284" t="str">
        <f>"20200913"</f>
        <v>20200913</v>
      </c>
    </row>
    <row r="4285" spans="1:13" x14ac:dyDescent="0.25">
      <c r="A4285" t="str">
        <f>"00667977"</f>
        <v>00667977</v>
      </c>
      <c r="B4285" t="s">
        <v>3736</v>
      </c>
      <c r="C4285" t="s">
        <v>2898</v>
      </c>
      <c r="D4285" t="s">
        <v>53</v>
      </c>
      <c r="E4285" t="s">
        <v>26</v>
      </c>
      <c r="F4285" t="s">
        <v>17</v>
      </c>
      <c r="G4285" t="str">
        <f>"12"</f>
        <v>12</v>
      </c>
      <c r="H4285" t="str">
        <f>"1  "</f>
        <v xml:space="preserve">1  </v>
      </c>
      <c r="I4285" t="str">
        <f>"2020/01/15"</f>
        <v>2020/01/15</v>
      </c>
      <c r="J4285" t="str">
        <f>"110"</f>
        <v>110</v>
      </c>
      <c r="K4285" t="str">
        <f>"20210114"</f>
        <v>20210114</v>
      </c>
      <c r="L4285" t="s">
        <v>18</v>
      </c>
      <c r="M4285" t="str">
        <f>"20200115"</f>
        <v>20200115</v>
      </c>
    </row>
    <row r="4286" spans="1:13" x14ac:dyDescent="0.25">
      <c r="A4286" t="str">
        <f>"00679010"</f>
        <v>00679010</v>
      </c>
      <c r="B4286" t="s">
        <v>3737</v>
      </c>
      <c r="C4286" t="s">
        <v>645</v>
      </c>
      <c r="D4286" t="s">
        <v>51</v>
      </c>
      <c r="E4286" t="s">
        <v>16</v>
      </c>
      <c r="F4286" t="s">
        <v>17</v>
      </c>
      <c r="G4286" t="str">
        <f>"12"</f>
        <v>12</v>
      </c>
      <c r="H4286" t="str">
        <f>"1  "</f>
        <v xml:space="preserve">1  </v>
      </c>
      <c r="I4286" t="str">
        <f>"2020/07/29"</f>
        <v>2020/07/29</v>
      </c>
      <c r="J4286" t="str">
        <f>"503"</f>
        <v>503</v>
      </c>
      <c r="K4286" t="str">
        <f>"20201125"</f>
        <v>20201125</v>
      </c>
      <c r="L4286" t="s">
        <v>18</v>
      </c>
      <c r="M4286" t="str">
        <f>"20200614"</f>
        <v>20200614</v>
      </c>
    </row>
    <row r="4287" spans="1:13" x14ac:dyDescent="0.25">
      <c r="A4287" t="str">
        <f>"00490851"</f>
        <v>00490851</v>
      </c>
      <c r="B4287" t="s">
        <v>3756</v>
      </c>
      <c r="C4287" t="s">
        <v>66</v>
      </c>
      <c r="D4287" t="s">
        <v>25</v>
      </c>
      <c r="E4287" t="s">
        <v>16</v>
      </c>
      <c r="F4287" t="s">
        <v>17</v>
      </c>
      <c r="G4287" t="str">
        <f>"12"</f>
        <v>12</v>
      </c>
      <c r="H4287" t="str">
        <f>"0  "</f>
        <v xml:space="preserve">0  </v>
      </c>
      <c r="I4287" t="str">
        <f>"2020/09/17"</f>
        <v>2020/09/17</v>
      </c>
      <c r="J4287" t="str">
        <f>"503"</f>
        <v>503</v>
      </c>
      <c r="K4287" t="s">
        <v>18</v>
      </c>
      <c r="L4287" t="s">
        <v>18</v>
      </c>
      <c r="M4287" t="s">
        <v>18</v>
      </c>
    </row>
    <row r="4288" spans="1:13" x14ac:dyDescent="0.25">
      <c r="A4288" t="str">
        <f>"00411683"</f>
        <v>00411683</v>
      </c>
      <c r="B4288" t="s">
        <v>3794</v>
      </c>
      <c r="C4288" t="s">
        <v>44</v>
      </c>
      <c r="D4288" t="s">
        <v>53</v>
      </c>
      <c r="E4288" t="s">
        <v>16</v>
      </c>
      <c r="F4288" t="s">
        <v>17</v>
      </c>
      <c r="G4288" t="str">
        <f>"12"</f>
        <v>12</v>
      </c>
      <c r="H4288" t="str">
        <f>"0  "</f>
        <v xml:space="preserve">0  </v>
      </c>
      <c r="I4288" t="str">
        <f>"2020/01/30"</f>
        <v>2020/01/30</v>
      </c>
      <c r="J4288" t="str">
        <f>"510"</f>
        <v>510</v>
      </c>
      <c r="K4288" t="s">
        <v>18</v>
      </c>
      <c r="L4288" t="s">
        <v>18</v>
      </c>
      <c r="M4288" t="s">
        <v>18</v>
      </c>
    </row>
    <row r="4289" spans="1:13" x14ac:dyDescent="0.25">
      <c r="A4289" t="str">
        <f>"00686212"</f>
        <v>00686212</v>
      </c>
      <c r="B4289" t="s">
        <v>3847</v>
      </c>
      <c r="C4289" t="s">
        <v>1567</v>
      </c>
      <c r="D4289" t="s">
        <v>80</v>
      </c>
      <c r="E4289" t="s">
        <v>16</v>
      </c>
      <c r="F4289" t="s">
        <v>17</v>
      </c>
      <c r="G4289" t="str">
        <f>"12"</f>
        <v>12</v>
      </c>
      <c r="H4289" t="str">
        <f>"0  "</f>
        <v xml:space="preserve">0  </v>
      </c>
      <c r="I4289" t="str">
        <f>"2020/09/22"</f>
        <v>2020/09/22</v>
      </c>
      <c r="J4289" t="str">
        <f>"420"</f>
        <v>420</v>
      </c>
      <c r="K4289" t="s">
        <v>18</v>
      </c>
      <c r="L4289" t="s">
        <v>18</v>
      </c>
      <c r="M4289" t="s">
        <v>18</v>
      </c>
    </row>
    <row r="4290" spans="1:13" x14ac:dyDescent="0.25">
      <c r="A4290" t="str">
        <f>"00302369"</f>
        <v>00302369</v>
      </c>
      <c r="B4290" t="s">
        <v>3847</v>
      </c>
      <c r="C4290" t="s">
        <v>3853</v>
      </c>
      <c r="D4290" t="s">
        <v>15</v>
      </c>
      <c r="E4290" t="s">
        <v>26</v>
      </c>
      <c r="F4290" t="s">
        <v>17</v>
      </c>
      <c r="G4290" t="str">
        <f>"12"</f>
        <v>12</v>
      </c>
      <c r="H4290" t="str">
        <f>"1  "</f>
        <v xml:space="preserve">1  </v>
      </c>
      <c r="I4290" t="str">
        <f>"2020/09/11"</f>
        <v>2020/09/11</v>
      </c>
      <c r="J4290" t="str">
        <f>"110"</f>
        <v>110</v>
      </c>
      <c r="K4290" t="str">
        <f>"20201027"</f>
        <v>20201027</v>
      </c>
      <c r="L4290" t="s">
        <v>18</v>
      </c>
      <c r="M4290" t="str">
        <f>"20200911"</f>
        <v>20200911</v>
      </c>
    </row>
    <row r="4291" spans="1:13" x14ac:dyDescent="0.25">
      <c r="A4291" t="str">
        <f>"00803227"</f>
        <v>00803227</v>
      </c>
      <c r="B4291" t="s">
        <v>3866</v>
      </c>
      <c r="C4291" t="s">
        <v>169</v>
      </c>
      <c r="D4291" t="s">
        <v>15</v>
      </c>
      <c r="E4291" t="s">
        <v>16</v>
      </c>
      <c r="F4291" t="s">
        <v>17</v>
      </c>
      <c r="G4291" t="str">
        <f>"12"</f>
        <v>12</v>
      </c>
      <c r="H4291" t="str">
        <f>"1  "</f>
        <v xml:space="preserve">1  </v>
      </c>
      <c r="I4291" t="str">
        <f>"2020/08/10"</f>
        <v>2020/08/10</v>
      </c>
      <c r="J4291" t="str">
        <f>"503"</f>
        <v>503</v>
      </c>
      <c r="K4291" t="str">
        <f>"20201122"</f>
        <v>20201122</v>
      </c>
      <c r="L4291" t="s">
        <v>18</v>
      </c>
      <c r="M4291" t="str">
        <f>"20200803"</f>
        <v>20200803</v>
      </c>
    </row>
    <row r="4292" spans="1:13" x14ac:dyDescent="0.25">
      <c r="A4292" t="str">
        <f>"00494105"</f>
        <v>00494105</v>
      </c>
      <c r="B4292" t="s">
        <v>3892</v>
      </c>
      <c r="C4292" t="s">
        <v>3893</v>
      </c>
      <c r="D4292" t="s">
        <v>51</v>
      </c>
      <c r="E4292" t="s">
        <v>26</v>
      </c>
      <c r="F4292" t="s">
        <v>17</v>
      </c>
      <c r="G4292" t="str">
        <f>"12"</f>
        <v>12</v>
      </c>
      <c r="H4292" t="str">
        <f>"3  "</f>
        <v xml:space="preserve">3  </v>
      </c>
      <c r="I4292" t="str">
        <f>"2020/08/18"</f>
        <v>2020/08/18</v>
      </c>
      <c r="J4292" t="str">
        <f>"503"</f>
        <v>503</v>
      </c>
      <c r="K4292" t="str">
        <f>"20210214"</f>
        <v>20210214</v>
      </c>
      <c r="L4292" t="s">
        <v>18</v>
      </c>
      <c r="M4292" t="str">
        <f>"20191004"</f>
        <v>20191004</v>
      </c>
    </row>
    <row r="4293" spans="1:13" x14ac:dyDescent="0.25">
      <c r="A4293" t="str">
        <f>"00455093"</f>
        <v>00455093</v>
      </c>
      <c r="B4293" t="s">
        <v>3918</v>
      </c>
      <c r="C4293" t="s">
        <v>269</v>
      </c>
      <c r="D4293" t="s">
        <v>51</v>
      </c>
      <c r="E4293" t="s">
        <v>16</v>
      </c>
      <c r="F4293" t="s">
        <v>17</v>
      </c>
      <c r="G4293" t="str">
        <f>"12"</f>
        <v>12</v>
      </c>
      <c r="H4293" t="str">
        <f>"0  "</f>
        <v xml:space="preserve">0  </v>
      </c>
      <c r="I4293" t="str">
        <f>"2020/09/17"</f>
        <v>2020/09/17</v>
      </c>
      <c r="J4293" t="str">
        <f>"503"</f>
        <v>503</v>
      </c>
      <c r="K4293" t="s">
        <v>18</v>
      </c>
      <c r="L4293" t="s">
        <v>18</v>
      </c>
      <c r="M4293" t="s">
        <v>18</v>
      </c>
    </row>
    <row r="4294" spans="1:13" x14ac:dyDescent="0.25">
      <c r="A4294" t="str">
        <f>"00439825"</f>
        <v>00439825</v>
      </c>
      <c r="B4294" t="s">
        <v>3940</v>
      </c>
      <c r="C4294" t="s">
        <v>626</v>
      </c>
      <c r="D4294" t="s">
        <v>15</v>
      </c>
      <c r="E4294" t="s">
        <v>26</v>
      </c>
      <c r="F4294" t="s">
        <v>17</v>
      </c>
      <c r="G4294" t="str">
        <f>"12"</f>
        <v>12</v>
      </c>
      <c r="H4294" t="str">
        <f>"0  "</f>
        <v xml:space="preserve">0  </v>
      </c>
      <c r="I4294" t="str">
        <f>"2020/09/22"</f>
        <v>2020/09/22</v>
      </c>
      <c r="J4294" t="str">
        <f>"510"</f>
        <v>510</v>
      </c>
      <c r="K4294" t="s">
        <v>18</v>
      </c>
      <c r="L4294" t="s">
        <v>18</v>
      </c>
      <c r="M4294" t="s">
        <v>18</v>
      </c>
    </row>
    <row r="4295" spans="1:13" x14ac:dyDescent="0.25">
      <c r="A4295" t="str">
        <f>"00155085"</f>
        <v>00155085</v>
      </c>
      <c r="B4295" t="s">
        <v>3940</v>
      </c>
      <c r="C4295" t="s">
        <v>853</v>
      </c>
      <c r="D4295" t="s">
        <v>25</v>
      </c>
      <c r="E4295" t="s">
        <v>26</v>
      </c>
      <c r="F4295" t="s">
        <v>17</v>
      </c>
      <c r="G4295" t="str">
        <f>"12"</f>
        <v>12</v>
      </c>
      <c r="H4295" t="str">
        <f>"1  "</f>
        <v xml:space="preserve">1  </v>
      </c>
      <c r="I4295" t="str">
        <f>"2020/06/29"</f>
        <v>2020/06/29</v>
      </c>
      <c r="J4295" t="str">
        <f>"502"</f>
        <v>502</v>
      </c>
      <c r="K4295" t="str">
        <f>"20210407"</f>
        <v>20210407</v>
      </c>
      <c r="L4295" t="s">
        <v>18</v>
      </c>
      <c r="M4295" t="str">
        <f>"20200519"</f>
        <v>20200519</v>
      </c>
    </row>
    <row r="4296" spans="1:13" x14ac:dyDescent="0.25">
      <c r="A4296" t="str">
        <f>"00666579"</f>
        <v>00666579</v>
      </c>
      <c r="B4296" t="s">
        <v>3940</v>
      </c>
      <c r="C4296" t="s">
        <v>3955</v>
      </c>
      <c r="D4296" t="s">
        <v>25</v>
      </c>
      <c r="E4296" t="s">
        <v>26</v>
      </c>
      <c r="F4296" t="s">
        <v>17</v>
      </c>
      <c r="G4296" t="str">
        <f>"12"</f>
        <v>12</v>
      </c>
      <c r="H4296" t="str">
        <f>"1  "</f>
        <v xml:space="preserve">1  </v>
      </c>
      <c r="I4296" t="str">
        <f>"2020/08/29"</f>
        <v>2020/08/29</v>
      </c>
      <c r="J4296" t="str">
        <f>"503"</f>
        <v>503</v>
      </c>
      <c r="K4296" t="str">
        <f>"20201127"</f>
        <v>20201127</v>
      </c>
      <c r="L4296" t="s">
        <v>18</v>
      </c>
      <c r="M4296" t="str">
        <f>"20200630"</f>
        <v>20200630</v>
      </c>
    </row>
    <row r="4297" spans="1:13" x14ac:dyDescent="0.25">
      <c r="A4297" t="str">
        <f>"00235998"</f>
        <v>00235998</v>
      </c>
      <c r="B4297" t="s">
        <v>3940</v>
      </c>
      <c r="C4297" t="s">
        <v>663</v>
      </c>
      <c r="D4297" t="s">
        <v>31</v>
      </c>
      <c r="E4297" t="s">
        <v>26</v>
      </c>
      <c r="F4297" t="s">
        <v>17</v>
      </c>
      <c r="G4297" t="str">
        <f>"12"</f>
        <v>12</v>
      </c>
      <c r="H4297" t="str">
        <f>"3  "</f>
        <v xml:space="preserve">3  </v>
      </c>
      <c r="I4297" t="str">
        <f>"2020/07/29"</f>
        <v>2020/07/29</v>
      </c>
      <c r="J4297" t="str">
        <f>"503"</f>
        <v>503</v>
      </c>
      <c r="K4297" t="str">
        <f>"20201123"</f>
        <v>20201123</v>
      </c>
      <c r="L4297" t="s">
        <v>18</v>
      </c>
      <c r="M4297" t="str">
        <f>"20140530"</f>
        <v>20140530</v>
      </c>
    </row>
    <row r="4298" spans="1:13" x14ac:dyDescent="0.25">
      <c r="A4298" t="str">
        <f>"00646137"</f>
        <v>00646137</v>
      </c>
      <c r="B4298" t="s">
        <v>3972</v>
      </c>
      <c r="C4298" t="s">
        <v>327</v>
      </c>
      <c r="D4298" t="s">
        <v>25</v>
      </c>
      <c r="E4298" t="s">
        <v>26</v>
      </c>
      <c r="F4298" t="s">
        <v>17</v>
      </c>
      <c r="G4298" t="str">
        <f>"12"</f>
        <v>12</v>
      </c>
      <c r="H4298" t="str">
        <f>"1  "</f>
        <v xml:space="preserve">1  </v>
      </c>
      <c r="I4298" t="str">
        <f>"2020/08/12"</f>
        <v>2020/08/12</v>
      </c>
      <c r="J4298" t="str">
        <f>"503"</f>
        <v>503</v>
      </c>
      <c r="K4298" t="str">
        <f>"20210120"</f>
        <v>20210120</v>
      </c>
      <c r="L4298" t="s">
        <v>18</v>
      </c>
      <c r="M4298" t="str">
        <f>"20200812"</f>
        <v>20200812</v>
      </c>
    </row>
    <row r="4299" spans="1:13" x14ac:dyDescent="0.25">
      <c r="A4299" t="str">
        <f>"00234874"</f>
        <v>00234874</v>
      </c>
      <c r="B4299" t="s">
        <v>3987</v>
      </c>
      <c r="C4299" t="s">
        <v>833</v>
      </c>
      <c r="D4299" t="s">
        <v>61</v>
      </c>
      <c r="E4299" t="s">
        <v>26</v>
      </c>
      <c r="F4299" t="s">
        <v>17</v>
      </c>
      <c r="G4299" t="str">
        <f>"12"</f>
        <v>12</v>
      </c>
      <c r="H4299" t="str">
        <f>"0  "</f>
        <v xml:space="preserve">0  </v>
      </c>
      <c r="I4299" t="str">
        <f>"2020/09/17"</f>
        <v>2020/09/17</v>
      </c>
      <c r="J4299" t="str">
        <f>"503"</f>
        <v>503</v>
      </c>
      <c r="K4299" t="s">
        <v>18</v>
      </c>
      <c r="L4299" t="s">
        <v>18</v>
      </c>
      <c r="M4299" t="s">
        <v>18</v>
      </c>
    </row>
    <row r="4300" spans="1:13" x14ac:dyDescent="0.25">
      <c r="A4300" t="str">
        <f>"00627838"</f>
        <v>00627838</v>
      </c>
      <c r="B4300" t="s">
        <v>4024</v>
      </c>
      <c r="C4300" t="s">
        <v>398</v>
      </c>
      <c r="D4300" t="s">
        <v>97</v>
      </c>
      <c r="E4300" t="s">
        <v>26</v>
      </c>
      <c r="F4300" t="s">
        <v>17</v>
      </c>
      <c r="G4300" t="str">
        <f>"12"</f>
        <v>12</v>
      </c>
      <c r="H4300" t="str">
        <f>"1  "</f>
        <v xml:space="preserve">1  </v>
      </c>
      <c r="I4300" t="str">
        <f>"2020/08/27"</f>
        <v>2020/08/27</v>
      </c>
      <c r="J4300" t="str">
        <f>"503"</f>
        <v>503</v>
      </c>
      <c r="K4300" t="str">
        <f>"20201014"</f>
        <v>20201014</v>
      </c>
      <c r="L4300" t="s">
        <v>18</v>
      </c>
      <c r="M4300" t="str">
        <f>"20200825"</f>
        <v>20200825</v>
      </c>
    </row>
    <row r="4301" spans="1:13" x14ac:dyDescent="0.25">
      <c r="A4301" t="str">
        <f>"00559046"</f>
        <v>00559046</v>
      </c>
      <c r="B4301" t="s">
        <v>4027</v>
      </c>
      <c r="C4301" t="s">
        <v>499</v>
      </c>
      <c r="D4301" t="s">
        <v>40</v>
      </c>
      <c r="E4301" t="s">
        <v>26</v>
      </c>
      <c r="F4301" t="s">
        <v>17</v>
      </c>
      <c r="G4301" t="str">
        <f>"12"</f>
        <v>12</v>
      </c>
      <c r="H4301" t="str">
        <f>"1  "</f>
        <v xml:space="preserve">1  </v>
      </c>
      <c r="I4301" t="str">
        <f>"2020/08/24"</f>
        <v>2020/08/24</v>
      </c>
      <c r="J4301" t="str">
        <f>"510"</f>
        <v>510</v>
      </c>
      <c r="K4301" t="str">
        <f>"20201112"</f>
        <v>20201112</v>
      </c>
      <c r="L4301" t="s">
        <v>18</v>
      </c>
      <c r="M4301" t="str">
        <f>"20200822"</f>
        <v>20200822</v>
      </c>
    </row>
    <row r="4302" spans="1:13" x14ac:dyDescent="0.25">
      <c r="A4302" t="str">
        <f>"00535375"</f>
        <v>00535375</v>
      </c>
      <c r="B4302" t="s">
        <v>4027</v>
      </c>
      <c r="C4302" t="s">
        <v>250</v>
      </c>
      <c r="D4302" t="s">
        <v>15</v>
      </c>
      <c r="E4302" t="s">
        <v>26</v>
      </c>
      <c r="F4302" t="s">
        <v>17</v>
      </c>
      <c r="G4302" t="str">
        <f>"12"</f>
        <v>12</v>
      </c>
      <c r="H4302" t="str">
        <f>"1  "</f>
        <v xml:space="preserve">1  </v>
      </c>
      <c r="I4302" t="str">
        <f>"2020/05/21"</f>
        <v>2020/05/21</v>
      </c>
      <c r="J4302" t="str">
        <f>"502"</f>
        <v>502</v>
      </c>
      <c r="K4302" t="str">
        <f>"20201018"</f>
        <v>20201018</v>
      </c>
      <c r="L4302" t="s">
        <v>18</v>
      </c>
      <c r="M4302" t="str">
        <f>"20200514"</f>
        <v>20200514</v>
      </c>
    </row>
    <row r="4303" spans="1:13" x14ac:dyDescent="0.25">
      <c r="A4303" t="str">
        <f>"00282852"</f>
        <v>00282852</v>
      </c>
      <c r="B4303" t="s">
        <v>4051</v>
      </c>
      <c r="C4303" t="s">
        <v>4054</v>
      </c>
      <c r="D4303" t="s">
        <v>45</v>
      </c>
      <c r="E4303" t="s">
        <v>26</v>
      </c>
      <c r="F4303" t="s">
        <v>17</v>
      </c>
      <c r="G4303" t="str">
        <f>"12"</f>
        <v>12</v>
      </c>
      <c r="H4303" t="str">
        <f>"3  "</f>
        <v xml:space="preserve">3  </v>
      </c>
      <c r="I4303" t="str">
        <f>"2020/09/04"</f>
        <v>2020/09/04</v>
      </c>
      <c r="J4303" t="str">
        <f>"505"</f>
        <v>505</v>
      </c>
      <c r="K4303" t="str">
        <f>"20210306"</f>
        <v>20210306</v>
      </c>
      <c r="L4303" t="s">
        <v>18</v>
      </c>
      <c r="M4303" t="str">
        <f>"20180906"</f>
        <v>20180906</v>
      </c>
    </row>
    <row r="4304" spans="1:13" x14ac:dyDescent="0.25">
      <c r="A4304" t="str">
        <f>"00374359"</f>
        <v>00374359</v>
      </c>
      <c r="B4304" t="s">
        <v>1294</v>
      </c>
      <c r="C4304" t="s">
        <v>191</v>
      </c>
      <c r="D4304" t="s">
        <v>21</v>
      </c>
      <c r="E4304" t="s">
        <v>26</v>
      </c>
      <c r="F4304" t="s">
        <v>17</v>
      </c>
      <c r="G4304" t="str">
        <f>"14"</f>
        <v>14</v>
      </c>
      <c r="H4304" t="str">
        <f>"1  "</f>
        <v xml:space="preserve">1  </v>
      </c>
      <c r="I4304" t="str">
        <f>"2006/06/27"</f>
        <v>2006/06/27</v>
      </c>
      <c r="J4304" t="str">
        <f>"610"</f>
        <v>610</v>
      </c>
      <c r="K4304" t="str">
        <f>"20060819"</f>
        <v>20060819</v>
      </c>
      <c r="L4304" t="s">
        <v>18</v>
      </c>
      <c r="M4304" t="str">
        <f>"20060620"</f>
        <v>20060620</v>
      </c>
    </row>
    <row r="4305" spans="1:13" x14ac:dyDescent="0.25">
      <c r="A4305" t="str">
        <f>"00097616"</f>
        <v>00097616</v>
      </c>
      <c r="B4305" t="s">
        <v>1626</v>
      </c>
      <c r="C4305" t="s">
        <v>1628</v>
      </c>
      <c r="D4305" t="s">
        <v>51</v>
      </c>
      <c r="E4305" t="s">
        <v>26</v>
      </c>
      <c r="F4305" t="s">
        <v>17</v>
      </c>
      <c r="G4305" t="str">
        <f>"14"</f>
        <v>14</v>
      </c>
      <c r="H4305" t="str">
        <f>"1  "</f>
        <v xml:space="preserve">1  </v>
      </c>
      <c r="I4305" t="str">
        <f>"2013/04/22"</f>
        <v>2013/04/22</v>
      </c>
      <c r="J4305" t="str">
        <f>"610"</f>
        <v>610</v>
      </c>
      <c r="K4305" t="str">
        <f>"20130804"</f>
        <v>20130804</v>
      </c>
      <c r="L4305" t="s">
        <v>18</v>
      </c>
      <c r="M4305" t="str">
        <f>"20130405"</f>
        <v>20130405</v>
      </c>
    </row>
    <row r="4306" spans="1:13" x14ac:dyDescent="0.25">
      <c r="A4306" t="str">
        <f>"00371505"</f>
        <v>00371505</v>
      </c>
      <c r="B4306" t="s">
        <v>2446</v>
      </c>
      <c r="C4306" t="s">
        <v>2447</v>
      </c>
      <c r="D4306" t="s">
        <v>25</v>
      </c>
      <c r="E4306" t="s">
        <v>16</v>
      </c>
      <c r="F4306" t="s">
        <v>17</v>
      </c>
      <c r="G4306" t="str">
        <f>"14"</f>
        <v>14</v>
      </c>
      <c r="H4306" t="str">
        <f>"1  "</f>
        <v xml:space="preserve">1  </v>
      </c>
      <c r="I4306" t="str">
        <f>"2012/10/09"</f>
        <v>2012/10/09</v>
      </c>
      <c r="J4306" t="str">
        <f>"990"</f>
        <v>990</v>
      </c>
      <c r="K4306" t="str">
        <f>"20020909"</f>
        <v>20020909</v>
      </c>
      <c r="L4306" t="s">
        <v>18</v>
      </c>
      <c r="M4306" t="str">
        <f>"20020322"</f>
        <v>20020322</v>
      </c>
    </row>
    <row r="4307" spans="1:13" x14ac:dyDescent="0.25">
      <c r="A4307" t="str">
        <f>"00172082"</f>
        <v>00172082</v>
      </c>
      <c r="B4307" t="s">
        <v>2564</v>
      </c>
      <c r="C4307" t="s">
        <v>169</v>
      </c>
      <c r="D4307" t="s">
        <v>47</v>
      </c>
      <c r="E4307" t="s">
        <v>16</v>
      </c>
      <c r="F4307" t="s">
        <v>17</v>
      </c>
      <c r="G4307" t="str">
        <f>"14"</f>
        <v>14</v>
      </c>
      <c r="H4307" t="str">
        <f>"1  "</f>
        <v xml:space="preserve">1  </v>
      </c>
      <c r="I4307" t="str">
        <f>"2012/10/09"</f>
        <v>2012/10/09</v>
      </c>
      <c r="J4307" t="str">
        <f>"990"</f>
        <v>990</v>
      </c>
      <c r="K4307" t="str">
        <f>"20060107"</f>
        <v>20060107</v>
      </c>
      <c r="L4307" t="s">
        <v>18</v>
      </c>
      <c r="M4307" t="str">
        <f>"20050513"</f>
        <v>20050513</v>
      </c>
    </row>
    <row r="4308" spans="1:13" x14ac:dyDescent="0.25">
      <c r="A4308" t="str">
        <f>"00489595"</f>
        <v>00489595</v>
      </c>
      <c r="B4308" t="s">
        <v>2631</v>
      </c>
      <c r="C4308" t="s">
        <v>2374</v>
      </c>
      <c r="D4308" t="s">
        <v>25</v>
      </c>
      <c r="E4308" t="s">
        <v>16</v>
      </c>
      <c r="F4308" t="s">
        <v>17</v>
      </c>
      <c r="G4308" t="str">
        <f>"14"</f>
        <v>14</v>
      </c>
      <c r="H4308" t="str">
        <f>"1  "</f>
        <v xml:space="preserve">1  </v>
      </c>
      <c r="I4308" t="str">
        <f>"2003/06/17"</f>
        <v>2003/06/17</v>
      </c>
      <c r="J4308" t="str">
        <f>"610"</f>
        <v>610</v>
      </c>
      <c r="K4308" t="str">
        <f>"20031216"</f>
        <v>20031216</v>
      </c>
      <c r="L4308" t="s">
        <v>18</v>
      </c>
      <c r="M4308" t="str">
        <f>"20030617"</f>
        <v>20030617</v>
      </c>
    </row>
    <row r="4309" spans="1:13" x14ac:dyDescent="0.25">
      <c r="A4309" t="str">
        <f>"00174745"</f>
        <v>00174745</v>
      </c>
      <c r="B4309" t="s">
        <v>3074</v>
      </c>
      <c r="C4309" t="s">
        <v>3076</v>
      </c>
      <c r="D4309" t="s">
        <v>15</v>
      </c>
      <c r="E4309" t="s">
        <v>26</v>
      </c>
      <c r="F4309" t="s">
        <v>34</v>
      </c>
      <c r="G4309" t="str">
        <f>"14"</f>
        <v>14</v>
      </c>
      <c r="H4309" t="str">
        <f>"1  "</f>
        <v xml:space="preserve">1  </v>
      </c>
      <c r="I4309" t="str">
        <f>"2012/10/09"</f>
        <v>2012/10/09</v>
      </c>
      <c r="J4309" t="str">
        <f>"990"</f>
        <v>990</v>
      </c>
      <c r="K4309" t="str">
        <f>"20010606"</f>
        <v>20010606</v>
      </c>
      <c r="L4309" t="s">
        <v>18</v>
      </c>
      <c r="M4309" t="str">
        <f>"20010207"</f>
        <v>20010207</v>
      </c>
    </row>
    <row r="4310" spans="1:13" x14ac:dyDescent="0.25">
      <c r="A4310" t="str">
        <f>"00486653"</f>
        <v>00486653</v>
      </c>
      <c r="B4310" t="s">
        <v>3131</v>
      </c>
      <c r="C4310" t="s">
        <v>1312</v>
      </c>
      <c r="D4310" t="s">
        <v>25</v>
      </c>
      <c r="E4310" t="s">
        <v>16</v>
      </c>
      <c r="F4310" t="s">
        <v>17</v>
      </c>
      <c r="G4310" t="str">
        <f>"14"</f>
        <v>14</v>
      </c>
      <c r="H4310" t="str">
        <f>"1  "</f>
        <v xml:space="preserve">1  </v>
      </c>
      <c r="I4310" t="str">
        <f>"2003/05/05"</f>
        <v>2003/05/05</v>
      </c>
      <c r="J4310" t="str">
        <f>"510"</f>
        <v>510</v>
      </c>
      <c r="K4310" t="str">
        <f>"20031022"</f>
        <v>20031022</v>
      </c>
      <c r="L4310" t="s">
        <v>18</v>
      </c>
      <c r="M4310" t="str">
        <f>"20030504"</f>
        <v>20030504</v>
      </c>
    </row>
    <row r="4311" spans="1:13" x14ac:dyDescent="0.25">
      <c r="A4311" t="str">
        <f>"00519941"</f>
        <v>00519941</v>
      </c>
      <c r="B4311" t="s">
        <v>3239</v>
      </c>
      <c r="C4311" t="s">
        <v>213</v>
      </c>
      <c r="D4311" t="s">
        <v>25</v>
      </c>
      <c r="E4311" t="s">
        <v>16</v>
      </c>
      <c r="F4311" t="s">
        <v>17</v>
      </c>
      <c r="G4311" t="str">
        <f>"14"</f>
        <v>14</v>
      </c>
      <c r="H4311" t="str">
        <f>"1  "</f>
        <v xml:space="preserve">1  </v>
      </c>
      <c r="I4311" t="str">
        <f>"2004/10/21"</f>
        <v>2004/10/21</v>
      </c>
      <c r="J4311" t="str">
        <f>"510"</f>
        <v>510</v>
      </c>
      <c r="K4311" t="str">
        <f>"20050410"</f>
        <v>20050410</v>
      </c>
      <c r="L4311" t="s">
        <v>18</v>
      </c>
      <c r="M4311" t="str">
        <f>"20041011"</f>
        <v>20041011</v>
      </c>
    </row>
    <row r="4312" spans="1:13" x14ac:dyDescent="0.25">
      <c r="A4312" t="str">
        <f>"00919511"</f>
        <v>00919511</v>
      </c>
      <c r="B4312" t="s">
        <v>3529</v>
      </c>
      <c r="C4312" t="s">
        <v>3530</v>
      </c>
      <c r="D4312" t="s">
        <v>40</v>
      </c>
      <c r="E4312" t="s">
        <v>16</v>
      </c>
      <c r="F4312" t="s">
        <v>34</v>
      </c>
      <c r="G4312" t="str">
        <f>"14"</f>
        <v>14</v>
      </c>
      <c r="H4312" t="str">
        <f>"1  "</f>
        <v xml:space="preserve">1  </v>
      </c>
      <c r="I4312" t="str">
        <f>"2020/09/03"</f>
        <v>2020/09/03</v>
      </c>
      <c r="J4312" t="str">
        <f>"511"</f>
        <v>511</v>
      </c>
      <c r="K4312" t="str">
        <f>"20201008"</f>
        <v>20201008</v>
      </c>
      <c r="L4312" t="s">
        <v>18</v>
      </c>
      <c r="M4312" t="str">
        <f>"20200730"</f>
        <v>20200730</v>
      </c>
    </row>
    <row r="4313" spans="1:13" x14ac:dyDescent="0.25">
      <c r="A4313" t="str">
        <f>"00498869"</f>
        <v>00498869</v>
      </c>
      <c r="B4313" t="s">
        <v>3767</v>
      </c>
      <c r="C4313" t="s">
        <v>3768</v>
      </c>
      <c r="D4313" t="s">
        <v>25</v>
      </c>
      <c r="E4313" t="s">
        <v>16</v>
      </c>
      <c r="F4313" t="s">
        <v>34</v>
      </c>
      <c r="G4313" t="str">
        <f>"14"</f>
        <v>14</v>
      </c>
      <c r="H4313" t="str">
        <f>"1  "</f>
        <v xml:space="preserve">1  </v>
      </c>
      <c r="I4313" t="str">
        <f>"2005/08/05"</f>
        <v>2005/08/05</v>
      </c>
      <c r="J4313" t="str">
        <f>"610"</f>
        <v>610</v>
      </c>
      <c r="K4313" t="str">
        <f>"20060804"</f>
        <v>20060804</v>
      </c>
      <c r="L4313" t="s">
        <v>18</v>
      </c>
      <c r="M4313" t="str">
        <f>"20050805"</f>
        <v>20050805</v>
      </c>
    </row>
    <row r="4314" spans="1:13" x14ac:dyDescent="0.25">
      <c r="A4314" t="str">
        <f>"00472112"</f>
        <v>00472112</v>
      </c>
      <c r="B4314" t="s">
        <v>3925</v>
      </c>
      <c r="C4314" t="s">
        <v>96</v>
      </c>
      <c r="D4314" t="s">
        <v>21</v>
      </c>
      <c r="E4314" t="s">
        <v>16</v>
      </c>
      <c r="F4314" t="s">
        <v>17</v>
      </c>
      <c r="G4314" t="str">
        <f>"14"</f>
        <v>14</v>
      </c>
      <c r="H4314" t="str">
        <f>"3  "</f>
        <v xml:space="preserve">3  </v>
      </c>
      <c r="I4314" t="str">
        <f>"2007/10/23"</f>
        <v>2007/10/23</v>
      </c>
      <c r="J4314" t="str">
        <f>"506"</f>
        <v>506</v>
      </c>
      <c r="K4314" t="str">
        <f>"20081205"</f>
        <v>20081205</v>
      </c>
      <c r="L4314" t="s">
        <v>18</v>
      </c>
      <c r="M4314" t="str">
        <f>"20070911"</f>
        <v>20070911</v>
      </c>
    </row>
    <row r="4315" spans="1:13" x14ac:dyDescent="0.25">
      <c r="A4315" t="str">
        <f>"00247733"</f>
        <v>00247733</v>
      </c>
      <c r="B4315" t="s">
        <v>4008</v>
      </c>
      <c r="C4315" t="s">
        <v>165</v>
      </c>
      <c r="D4315" t="s">
        <v>40</v>
      </c>
      <c r="E4315" t="s">
        <v>16</v>
      </c>
      <c r="F4315" t="s">
        <v>17</v>
      </c>
      <c r="G4315" t="str">
        <f>"14"</f>
        <v>14</v>
      </c>
      <c r="H4315" t="str">
        <f>"1  "</f>
        <v xml:space="preserve">1  </v>
      </c>
      <c r="I4315" t="str">
        <f>"2003/05/23"</f>
        <v>2003/05/23</v>
      </c>
      <c r="J4315" t="str">
        <f>"512"</f>
        <v>512</v>
      </c>
      <c r="K4315" t="str">
        <f>"20031106"</f>
        <v>20031106</v>
      </c>
      <c r="L4315" t="s">
        <v>18</v>
      </c>
      <c r="M4315" t="str">
        <f>"20030507"</f>
        <v>20030507</v>
      </c>
    </row>
    <row r="4316" spans="1:13" x14ac:dyDescent="0.25">
      <c r="A4316" t="str">
        <f>"00281236"</f>
        <v>00281236</v>
      </c>
      <c r="B4316" t="s">
        <v>4051</v>
      </c>
      <c r="C4316" t="s">
        <v>4055</v>
      </c>
      <c r="D4316" t="s">
        <v>15</v>
      </c>
      <c r="E4316" t="s">
        <v>26</v>
      </c>
      <c r="F4316" t="s">
        <v>34</v>
      </c>
      <c r="G4316" t="str">
        <f>"25"</f>
        <v>25</v>
      </c>
      <c r="H4316" t="str">
        <f>"0  "</f>
        <v xml:space="preserve">0  </v>
      </c>
      <c r="I4316" t="str">
        <f>"2020/09/17"</f>
        <v>2020/09/17</v>
      </c>
      <c r="J4316" t="str">
        <f>"501"</f>
        <v>501</v>
      </c>
      <c r="K4316" t="s">
        <v>18</v>
      </c>
      <c r="L4316" t="s">
        <v>18</v>
      </c>
      <c r="M4316" t="s">
        <v>18</v>
      </c>
    </row>
    <row r="4317" spans="1:13" x14ac:dyDescent="0.25">
      <c r="A4317" t="str">
        <f>"00607422"</f>
        <v>00607422</v>
      </c>
      <c r="B4317" t="s">
        <v>114</v>
      </c>
      <c r="C4317" t="s">
        <v>74</v>
      </c>
      <c r="D4317" t="s">
        <v>51</v>
      </c>
      <c r="E4317" t="s">
        <v>16</v>
      </c>
      <c r="F4317" t="s">
        <v>17</v>
      </c>
      <c r="G4317" t="str">
        <f>"31"</f>
        <v>31</v>
      </c>
      <c r="H4317" t="str">
        <f>"3  "</f>
        <v xml:space="preserve">3  </v>
      </c>
      <c r="I4317" t="str">
        <f>"2020/02/04"</f>
        <v>2020/02/04</v>
      </c>
      <c r="J4317" t="str">
        <f>"503"</f>
        <v>503</v>
      </c>
      <c r="K4317" t="str">
        <f>"20211126"</f>
        <v>20211126</v>
      </c>
      <c r="L4317" t="s">
        <v>18</v>
      </c>
      <c r="M4317" t="str">
        <f>"20181226"</f>
        <v>20181226</v>
      </c>
    </row>
    <row r="4318" spans="1:13" x14ac:dyDescent="0.25">
      <c r="A4318" t="str">
        <f>"00617908"</f>
        <v>00617908</v>
      </c>
      <c r="B4318" t="s">
        <v>171</v>
      </c>
      <c r="C4318" t="s">
        <v>14</v>
      </c>
      <c r="D4318" t="s">
        <v>53</v>
      </c>
      <c r="E4318" t="s">
        <v>26</v>
      </c>
      <c r="F4318" t="s">
        <v>17</v>
      </c>
      <c r="G4318" t="str">
        <f>"31"</f>
        <v>31</v>
      </c>
      <c r="H4318" t="str">
        <f>"0  "</f>
        <v xml:space="preserve">0  </v>
      </c>
      <c r="I4318" t="str">
        <f>"2019/12/02"</f>
        <v>2019/12/02</v>
      </c>
      <c r="J4318" t="str">
        <f>"502"</f>
        <v>502</v>
      </c>
      <c r="K4318" t="s">
        <v>18</v>
      </c>
      <c r="L4318" t="s">
        <v>18</v>
      </c>
      <c r="M4318" t="s">
        <v>18</v>
      </c>
    </row>
    <row r="4319" spans="1:13" x14ac:dyDescent="0.25">
      <c r="A4319" t="str">
        <f>"00490385"</f>
        <v>00490385</v>
      </c>
      <c r="B4319" t="s">
        <v>885</v>
      </c>
      <c r="C4319" t="s">
        <v>168</v>
      </c>
      <c r="D4319" t="s">
        <v>25</v>
      </c>
      <c r="E4319" t="s">
        <v>26</v>
      </c>
      <c r="F4319" t="s">
        <v>17</v>
      </c>
      <c r="G4319" t="str">
        <f>"31"</f>
        <v>31</v>
      </c>
      <c r="H4319" t="str">
        <f>"0  "</f>
        <v xml:space="preserve">0  </v>
      </c>
      <c r="I4319" t="str">
        <f>"2019/10/01"</f>
        <v>2019/10/01</v>
      </c>
      <c r="J4319" t="str">
        <f>"510"</f>
        <v>510</v>
      </c>
      <c r="K4319" t="s">
        <v>18</v>
      </c>
      <c r="L4319" t="s">
        <v>18</v>
      </c>
      <c r="M4319" t="s">
        <v>18</v>
      </c>
    </row>
    <row r="4320" spans="1:13" x14ac:dyDescent="0.25">
      <c r="A4320" t="str">
        <f>"00566774"</f>
        <v>00566774</v>
      </c>
      <c r="B4320" t="s">
        <v>945</v>
      </c>
      <c r="C4320" t="s">
        <v>947</v>
      </c>
      <c r="D4320" t="s">
        <v>51</v>
      </c>
      <c r="E4320" t="s">
        <v>26</v>
      </c>
      <c r="F4320" t="s">
        <v>34</v>
      </c>
      <c r="G4320" t="str">
        <f>"31"</f>
        <v>31</v>
      </c>
      <c r="H4320" t="str">
        <f>"0  "</f>
        <v xml:space="preserve">0  </v>
      </c>
      <c r="I4320" t="str">
        <f>"2020/03/04"</f>
        <v>2020/03/04</v>
      </c>
      <c r="J4320" t="str">
        <f>"501"</f>
        <v>501</v>
      </c>
      <c r="K4320" t="s">
        <v>18</v>
      </c>
      <c r="L4320" t="s">
        <v>18</v>
      </c>
      <c r="M4320" t="s">
        <v>18</v>
      </c>
    </row>
    <row r="4321" spans="1:13" x14ac:dyDescent="0.25">
      <c r="A4321" t="str">
        <f>"00603935"</f>
        <v>00603935</v>
      </c>
      <c r="B4321" t="s">
        <v>1020</v>
      </c>
      <c r="C4321" t="s">
        <v>333</v>
      </c>
      <c r="D4321" t="s">
        <v>53</v>
      </c>
      <c r="E4321" t="s">
        <v>26</v>
      </c>
      <c r="F4321" t="s">
        <v>17</v>
      </c>
      <c r="G4321" t="str">
        <f>"31"</f>
        <v>31</v>
      </c>
      <c r="H4321" t="str">
        <f>"3  "</f>
        <v xml:space="preserve">3  </v>
      </c>
      <c r="I4321" t="str">
        <f>"2008/07/15"</f>
        <v>2008/07/15</v>
      </c>
      <c r="J4321" t="str">
        <f>"502"</f>
        <v>502</v>
      </c>
      <c r="K4321" t="str">
        <f>"20210509"</f>
        <v>20210509</v>
      </c>
      <c r="L4321" t="s">
        <v>18</v>
      </c>
      <c r="M4321" t="str">
        <f>"20071021"</f>
        <v>20071021</v>
      </c>
    </row>
    <row r="4322" spans="1:13" x14ac:dyDescent="0.25">
      <c r="A4322" t="str">
        <f>"00592606"</f>
        <v>00592606</v>
      </c>
      <c r="B4322" t="s">
        <v>1083</v>
      </c>
      <c r="C4322" t="s">
        <v>1084</v>
      </c>
      <c r="D4322" t="s">
        <v>25</v>
      </c>
      <c r="E4322" t="s">
        <v>26</v>
      </c>
      <c r="F4322" t="s">
        <v>17</v>
      </c>
      <c r="G4322" t="str">
        <f>"31"</f>
        <v>31</v>
      </c>
      <c r="H4322" t="str">
        <f>"0  "</f>
        <v xml:space="preserve">0  </v>
      </c>
      <c r="I4322" t="str">
        <f>"2019/04/17"</f>
        <v>2019/04/17</v>
      </c>
      <c r="J4322" t="str">
        <f>"510"</f>
        <v>510</v>
      </c>
      <c r="K4322" t="s">
        <v>18</v>
      </c>
      <c r="L4322" t="s">
        <v>18</v>
      </c>
      <c r="M4322" t="s">
        <v>18</v>
      </c>
    </row>
    <row r="4323" spans="1:13" x14ac:dyDescent="0.25">
      <c r="A4323" t="str">
        <f>"00348402"</f>
        <v>00348402</v>
      </c>
      <c r="B4323" t="s">
        <v>1184</v>
      </c>
      <c r="C4323" t="s">
        <v>269</v>
      </c>
      <c r="D4323" t="s">
        <v>40</v>
      </c>
      <c r="E4323" t="s">
        <v>16</v>
      </c>
      <c r="F4323" t="s">
        <v>17</v>
      </c>
      <c r="G4323" t="str">
        <f>"31"</f>
        <v>31</v>
      </c>
      <c r="H4323" t="str">
        <f>"1  "</f>
        <v xml:space="preserve">1  </v>
      </c>
      <c r="I4323" t="str">
        <f>"2020/09/17"</f>
        <v>2020/09/17</v>
      </c>
      <c r="J4323" t="str">
        <f>"502"</f>
        <v>502</v>
      </c>
      <c r="K4323" t="str">
        <f>"20201015"</f>
        <v>20201015</v>
      </c>
      <c r="L4323" t="s">
        <v>18</v>
      </c>
      <c r="M4323" t="str">
        <f>"20200619"</f>
        <v>20200619</v>
      </c>
    </row>
    <row r="4324" spans="1:13" x14ac:dyDescent="0.25">
      <c r="A4324" t="str">
        <f>"00169966"</f>
        <v>00169966</v>
      </c>
      <c r="B4324" t="s">
        <v>1216</v>
      </c>
      <c r="C4324" t="s">
        <v>1218</v>
      </c>
      <c r="D4324" t="s">
        <v>45</v>
      </c>
      <c r="E4324" t="s">
        <v>16</v>
      </c>
      <c r="F4324" t="s">
        <v>17</v>
      </c>
      <c r="G4324" t="str">
        <f>"31"</f>
        <v>31</v>
      </c>
      <c r="H4324" t="str">
        <f>"7  "</f>
        <v xml:space="preserve">7  </v>
      </c>
      <c r="I4324" t="str">
        <f>"2014/10/21"</f>
        <v>2014/10/21</v>
      </c>
      <c r="J4324" t="str">
        <f>"502"</f>
        <v>502</v>
      </c>
      <c r="K4324" t="s">
        <v>18</v>
      </c>
      <c r="L4324" t="s">
        <v>18</v>
      </c>
      <c r="M4324" t="str">
        <f>"19800709"</f>
        <v>19800709</v>
      </c>
    </row>
    <row r="4325" spans="1:13" x14ac:dyDescent="0.25">
      <c r="A4325" t="str">
        <f>"00537723"</f>
        <v>00537723</v>
      </c>
      <c r="B4325" t="s">
        <v>1408</v>
      </c>
      <c r="C4325" t="s">
        <v>1409</v>
      </c>
      <c r="D4325" t="s">
        <v>80</v>
      </c>
      <c r="E4325" t="s">
        <v>26</v>
      </c>
      <c r="F4325" t="s">
        <v>17</v>
      </c>
      <c r="G4325" t="str">
        <f>"31"</f>
        <v>31</v>
      </c>
      <c r="H4325" t="str">
        <f>"0  "</f>
        <v xml:space="preserve">0  </v>
      </c>
      <c r="I4325" t="str">
        <f>"2020/05/22"</f>
        <v>2020/05/22</v>
      </c>
      <c r="J4325" t="str">
        <f>"420"</f>
        <v>420</v>
      </c>
      <c r="K4325" t="s">
        <v>18</v>
      </c>
      <c r="L4325" t="s">
        <v>18</v>
      </c>
      <c r="M4325" t="s">
        <v>18</v>
      </c>
    </row>
    <row r="4326" spans="1:13" x14ac:dyDescent="0.25">
      <c r="A4326" t="str">
        <f>"00615695"</f>
        <v>00615695</v>
      </c>
      <c r="B4326" t="s">
        <v>1492</v>
      </c>
      <c r="C4326" t="s">
        <v>1493</v>
      </c>
      <c r="D4326" t="s">
        <v>51</v>
      </c>
      <c r="E4326" t="s">
        <v>26</v>
      </c>
      <c r="F4326" t="s">
        <v>17</v>
      </c>
      <c r="G4326" t="str">
        <f>"31"</f>
        <v>31</v>
      </c>
      <c r="H4326" t="str">
        <f>"0  "</f>
        <v xml:space="preserve">0  </v>
      </c>
      <c r="I4326" t="str">
        <f>"2019/08/29"</f>
        <v>2019/08/29</v>
      </c>
      <c r="J4326" t="str">
        <f>"503"</f>
        <v>503</v>
      </c>
      <c r="K4326" t="s">
        <v>18</v>
      </c>
      <c r="L4326" t="s">
        <v>18</v>
      </c>
      <c r="M4326" t="s">
        <v>18</v>
      </c>
    </row>
    <row r="4327" spans="1:13" x14ac:dyDescent="0.25">
      <c r="A4327" t="str">
        <f>"00804901"</f>
        <v>00804901</v>
      </c>
      <c r="B4327" t="s">
        <v>1533</v>
      </c>
      <c r="C4327" t="s">
        <v>140</v>
      </c>
      <c r="D4327" t="s">
        <v>80</v>
      </c>
      <c r="E4327" t="s">
        <v>16</v>
      </c>
      <c r="F4327" t="s">
        <v>17</v>
      </c>
      <c r="G4327" t="str">
        <f>"31"</f>
        <v>31</v>
      </c>
      <c r="H4327" t="str">
        <f>"7  "</f>
        <v xml:space="preserve">7  </v>
      </c>
      <c r="I4327" t="str">
        <f>"2016/12/16"</f>
        <v>2016/12/16</v>
      </c>
      <c r="J4327" t="str">
        <f>"110"</f>
        <v>110</v>
      </c>
      <c r="K4327" t="s">
        <v>18</v>
      </c>
      <c r="L4327" t="s">
        <v>18</v>
      </c>
      <c r="M4327" t="str">
        <f>"20151014"</f>
        <v>20151014</v>
      </c>
    </row>
    <row r="4328" spans="1:13" x14ac:dyDescent="0.25">
      <c r="A4328" t="str">
        <f>"00191004"</f>
        <v>00191004</v>
      </c>
      <c r="B4328" t="s">
        <v>1630</v>
      </c>
      <c r="C4328" t="s">
        <v>233</v>
      </c>
      <c r="D4328" t="s">
        <v>215</v>
      </c>
      <c r="E4328" t="s">
        <v>26</v>
      </c>
      <c r="F4328" t="s">
        <v>17</v>
      </c>
      <c r="G4328" t="str">
        <f>"31"</f>
        <v>31</v>
      </c>
      <c r="H4328" t="str">
        <f>"7  "</f>
        <v xml:space="preserve">7  </v>
      </c>
      <c r="I4328" t="str">
        <f>"2009/06/09"</f>
        <v>2009/06/09</v>
      </c>
      <c r="J4328" t="str">
        <f>"502"</f>
        <v>502</v>
      </c>
      <c r="K4328" t="s">
        <v>18</v>
      </c>
      <c r="L4328" t="str">
        <f>"19990517"</f>
        <v>19990517</v>
      </c>
      <c r="M4328" t="str">
        <f>"19880218"</f>
        <v>19880218</v>
      </c>
    </row>
    <row r="4329" spans="1:13" x14ac:dyDescent="0.25">
      <c r="A4329" t="str">
        <f>"00504229"</f>
        <v>00504229</v>
      </c>
      <c r="B4329" t="s">
        <v>1927</v>
      </c>
      <c r="C4329" t="s">
        <v>1928</v>
      </c>
      <c r="D4329" t="s">
        <v>51</v>
      </c>
      <c r="E4329" t="s">
        <v>26</v>
      </c>
      <c r="F4329" t="s">
        <v>17</v>
      </c>
      <c r="G4329" t="str">
        <f>"31"</f>
        <v>31</v>
      </c>
      <c r="H4329" t="str">
        <f>"0  "</f>
        <v xml:space="preserve">0  </v>
      </c>
      <c r="I4329" t="str">
        <f>"2020/08/20"</f>
        <v>2020/08/20</v>
      </c>
      <c r="J4329" t="str">
        <f>"510"</f>
        <v>510</v>
      </c>
      <c r="K4329" t="s">
        <v>18</v>
      </c>
      <c r="L4329" t="s">
        <v>18</v>
      </c>
      <c r="M4329" t="s">
        <v>18</v>
      </c>
    </row>
    <row r="4330" spans="1:13" x14ac:dyDescent="0.25">
      <c r="A4330" t="str">
        <f>"00189549"</f>
        <v>00189549</v>
      </c>
      <c r="B4330" t="s">
        <v>1933</v>
      </c>
      <c r="C4330" t="s">
        <v>44</v>
      </c>
      <c r="D4330" t="s">
        <v>51</v>
      </c>
      <c r="E4330" t="s">
        <v>16</v>
      </c>
      <c r="F4330" t="s">
        <v>17</v>
      </c>
      <c r="G4330" t="str">
        <f>"31"</f>
        <v>31</v>
      </c>
      <c r="H4330" t="str">
        <f>"0  "</f>
        <v xml:space="preserve">0  </v>
      </c>
      <c r="I4330" t="str">
        <f>"2018/05/23"</f>
        <v>2018/05/23</v>
      </c>
      <c r="J4330" t="str">
        <f>"510"</f>
        <v>510</v>
      </c>
      <c r="K4330" t="s">
        <v>18</v>
      </c>
      <c r="L4330" t="s">
        <v>18</v>
      </c>
      <c r="M4330" t="s">
        <v>18</v>
      </c>
    </row>
    <row r="4331" spans="1:13" x14ac:dyDescent="0.25">
      <c r="A4331" t="str">
        <f>"00281862"</f>
        <v>00281862</v>
      </c>
      <c r="B4331" t="s">
        <v>1941</v>
      </c>
      <c r="C4331" t="s">
        <v>49</v>
      </c>
      <c r="D4331" t="s">
        <v>15</v>
      </c>
      <c r="E4331" t="s">
        <v>26</v>
      </c>
      <c r="F4331" t="s">
        <v>17</v>
      </c>
      <c r="G4331" t="str">
        <f>"31"</f>
        <v>31</v>
      </c>
      <c r="H4331" t="str">
        <f>"0  "</f>
        <v xml:space="preserve">0  </v>
      </c>
      <c r="I4331" t="str">
        <f>"2017/11/20"</f>
        <v>2017/11/20</v>
      </c>
      <c r="J4331" t="str">
        <f>"510"</f>
        <v>510</v>
      </c>
      <c r="K4331" t="s">
        <v>18</v>
      </c>
      <c r="L4331" t="s">
        <v>18</v>
      </c>
      <c r="M4331" t="s">
        <v>18</v>
      </c>
    </row>
    <row r="4332" spans="1:13" x14ac:dyDescent="0.25">
      <c r="A4332" t="str">
        <f>"00610190"</f>
        <v>00610190</v>
      </c>
      <c r="B4332" t="s">
        <v>1963</v>
      </c>
      <c r="C4332" t="s">
        <v>155</v>
      </c>
      <c r="D4332" t="s">
        <v>37</v>
      </c>
      <c r="E4332" t="s">
        <v>26</v>
      </c>
      <c r="F4332" t="s">
        <v>17</v>
      </c>
      <c r="G4332" t="str">
        <f>"31"</f>
        <v>31</v>
      </c>
      <c r="H4332" t="str">
        <f>"3  "</f>
        <v xml:space="preserve">3  </v>
      </c>
      <c r="I4332" t="str">
        <f>"2017/10/06"</f>
        <v>2017/10/06</v>
      </c>
      <c r="J4332" t="str">
        <f>"510"</f>
        <v>510</v>
      </c>
      <c r="K4332" t="str">
        <f>"20421009"</f>
        <v>20421009</v>
      </c>
      <c r="L4332" t="s">
        <v>18</v>
      </c>
      <c r="M4332" t="str">
        <f>"20150914"</f>
        <v>20150914</v>
      </c>
    </row>
    <row r="4333" spans="1:13" x14ac:dyDescent="0.25">
      <c r="A4333" t="str">
        <f>"00787303"</f>
        <v>00787303</v>
      </c>
      <c r="B4333" t="s">
        <v>2631</v>
      </c>
      <c r="C4333" t="s">
        <v>853</v>
      </c>
      <c r="D4333" t="s">
        <v>15</v>
      </c>
      <c r="E4333" t="s">
        <v>26</v>
      </c>
      <c r="F4333" t="s">
        <v>17</v>
      </c>
      <c r="G4333" t="str">
        <f>"31"</f>
        <v>31</v>
      </c>
      <c r="H4333" t="str">
        <f>"0  "</f>
        <v xml:space="preserve">0  </v>
      </c>
      <c r="I4333" t="str">
        <f>"2019/03/13"</f>
        <v>2019/03/13</v>
      </c>
      <c r="J4333" t="str">
        <f>"502"</f>
        <v>502</v>
      </c>
      <c r="K4333" t="s">
        <v>18</v>
      </c>
      <c r="L4333" t="s">
        <v>18</v>
      </c>
      <c r="M4333" t="s">
        <v>18</v>
      </c>
    </row>
    <row r="4334" spans="1:13" x14ac:dyDescent="0.25">
      <c r="A4334" t="str">
        <f>"00567646"</f>
        <v>00567646</v>
      </c>
      <c r="B4334" t="s">
        <v>2712</v>
      </c>
      <c r="C4334" t="s">
        <v>1865</v>
      </c>
      <c r="D4334" t="s">
        <v>80</v>
      </c>
      <c r="E4334" t="s">
        <v>26</v>
      </c>
      <c r="F4334" t="s">
        <v>34</v>
      </c>
      <c r="G4334" t="str">
        <f>"31"</f>
        <v>31</v>
      </c>
      <c r="H4334" t="str">
        <f>"0  "</f>
        <v xml:space="preserve">0  </v>
      </c>
      <c r="I4334" t="str">
        <f>"2020/09/14"</f>
        <v>2020/09/14</v>
      </c>
      <c r="J4334" t="str">
        <f>"501"</f>
        <v>501</v>
      </c>
      <c r="K4334" t="s">
        <v>18</v>
      </c>
      <c r="L4334" t="s">
        <v>18</v>
      </c>
      <c r="M4334" t="s">
        <v>18</v>
      </c>
    </row>
    <row r="4335" spans="1:13" x14ac:dyDescent="0.25">
      <c r="A4335" t="str">
        <f>"00156516"</f>
        <v>00156516</v>
      </c>
      <c r="B4335" t="s">
        <v>2971</v>
      </c>
      <c r="C4335" t="s">
        <v>2972</v>
      </c>
      <c r="D4335" t="s">
        <v>21</v>
      </c>
      <c r="E4335" t="s">
        <v>26</v>
      </c>
      <c r="F4335" t="s">
        <v>17</v>
      </c>
      <c r="G4335" t="str">
        <f>"31"</f>
        <v>31</v>
      </c>
      <c r="H4335" t="str">
        <f>"0  "</f>
        <v xml:space="preserve">0  </v>
      </c>
      <c r="I4335" t="str">
        <f>"2019/03/20"</f>
        <v>2019/03/20</v>
      </c>
      <c r="J4335" t="str">
        <f>"502"</f>
        <v>502</v>
      </c>
      <c r="K4335" t="s">
        <v>18</v>
      </c>
      <c r="L4335" t="s">
        <v>18</v>
      </c>
      <c r="M4335" t="s">
        <v>18</v>
      </c>
    </row>
    <row r="4336" spans="1:13" x14ac:dyDescent="0.25">
      <c r="A4336" t="str">
        <f>"00229355"</f>
        <v>00229355</v>
      </c>
      <c r="B4336" t="s">
        <v>3404</v>
      </c>
      <c r="C4336" t="s">
        <v>327</v>
      </c>
      <c r="D4336" t="s">
        <v>15</v>
      </c>
      <c r="E4336" t="s">
        <v>16</v>
      </c>
      <c r="F4336" t="s">
        <v>17</v>
      </c>
      <c r="G4336" t="str">
        <f>"31"</f>
        <v>31</v>
      </c>
      <c r="H4336" t="str">
        <f>"7  "</f>
        <v xml:space="preserve">7  </v>
      </c>
      <c r="I4336" t="str">
        <f>"1992/08/27"</f>
        <v>1992/08/27</v>
      </c>
      <c r="J4336" t="str">
        <f>"114"</f>
        <v>114</v>
      </c>
      <c r="K4336" t="s">
        <v>18</v>
      </c>
      <c r="L4336" t="s">
        <v>18</v>
      </c>
      <c r="M4336" t="str">
        <f>"19900409"</f>
        <v>19900409</v>
      </c>
    </row>
    <row r="4337" spans="1:13" x14ac:dyDescent="0.25">
      <c r="A4337" t="str">
        <f>"00913605"</f>
        <v>00913605</v>
      </c>
      <c r="B4337" t="s">
        <v>3482</v>
      </c>
      <c r="C4337" t="s">
        <v>3484</v>
      </c>
      <c r="D4337" t="s">
        <v>51</v>
      </c>
      <c r="E4337" t="s">
        <v>26</v>
      </c>
      <c r="F4337" t="s">
        <v>17</v>
      </c>
      <c r="G4337" t="str">
        <f>"31"</f>
        <v>31</v>
      </c>
      <c r="H4337" t="str">
        <f>"0  "</f>
        <v xml:space="preserve">0  </v>
      </c>
      <c r="I4337" t="str">
        <f>"2019/12/23"</f>
        <v>2019/12/23</v>
      </c>
      <c r="J4337" t="str">
        <f>"503"</f>
        <v>503</v>
      </c>
      <c r="K4337" t="s">
        <v>18</v>
      </c>
      <c r="L4337" t="s">
        <v>18</v>
      </c>
      <c r="M4337" t="s">
        <v>18</v>
      </c>
    </row>
    <row r="4338" spans="1:13" x14ac:dyDescent="0.25">
      <c r="A4338" t="str">
        <f>"00512231"</f>
        <v>00512231</v>
      </c>
      <c r="B4338" t="s">
        <v>3681</v>
      </c>
      <c r="C4338" t="s">
        <v>269</v>
      </c>
      <c r="D4338" t="s">
        <v>40</v>
      </c>
      <c r="E4338" t="s">
        <v>16</v>
      </c>
      <c r="F4338" t="s">
        <v>17</v>
      </c>
      <c r="G4338" t="str">
        <f>"31"</f>
        <v>31</v>
      </c>
      <c r="H4338" t="str">
        <f>"0  "</f>
        <v xml:space="preserve">0  </v>
      </c>
      <c r="I4338" t="str">
        <f>"2019/08/22"</f>
        <v>2019/08/22</v>
      </c>
      <c r="J4338" t="str">
        <f>"510"</f>
        <v>510</v>
      </c>
      <c r="K4338" t="s">
        <v>18</v>
      </c>
      <c r="L4338" t="s">
        <v>18</v>
      </c>
      <c r="M4338" t="s">
        <v>18</v>
      </c>
    </row>
    <row r="4339" spans="1:13" x14ac:dyDescent="0.25">
      <c r="A4339" t="str">
        <f>"00457352"</f>
        <v>00457352</v>
      </c>
      <c r="B4339" t="s">
        <v>3847</v>
      </c>
      <c r="C4339" t="s">
        <v>136</v>
      </c>
      <c r="D4339" t="s">
        <v>40</v>
      </c>
      <c r="E4339" t="s">
        <v>16</v>
      </c>
      <c r="F4339" t="s">
        <v>17</v>
      </c>
      <c r="G4339" t="str">
        <f>"31"</f>
        <v>31</v>
      </c>
      <c r="H4339" t="str">
        <f>"3  "</f>
        <v xml:space="preserve">3  </v>
      </c>
      <c r="I4339" t="str">
        <f>"2020/07/20"</f>
        <v>2020/07/20</v>
      </c>
      <c r="J4339" t="str">
        <f>"502"</f>
        <v>502</v>
      </c>
      <c r="K4339" t="str">
        <f>"21211119"</f>
        <v>21211119</v>
      </c>
      <c r="L4339" t="s">
        <v>18</v>
      </c>
      <c r="M4339" t="str">
        <f>"20121231"</f>
        <v>20121231</v>
      </c>
    </row>
    <row r="4340" spans="1:13" x14ac:dyDescent="0.25">
      <c r="A4340" t="str">
        <f>"00584589"</f>
        <v>00584589</v>
      </c>
      <c r="B4340" t="s">
        <v>3883</v>
      </c>
      <c r="C4340" t="s">
        <v>55</v>
      </c>
      <c r="D4340" t="s">
        <v>21</v>
      </c>
      <c r="E4340" t="s">
        <v>16</v>
      </c>
      <c r="F4340" t="s">
        <v>17</v>
      </c>
      <c r="G4340" t="str">
        <f>"31"</f>
        <v>31</v>
      </c>
      <c r="H4340" t="str">
        <f>"7  "</f>
        <v xml:space="preserve">7  </v>
      </c>
      <c r="I4340" t="str">
        <f>"2015/07/16"</f>
        <v>2015/07/16</v>
      </c>
      <c r="J4340" t="str">
        <f>"502"</f>
        <v>502</v>
      </c>
      <c r="K4340" t="s">
        <v>18</v>
      </c>
      <c r="L4340" t="s">
        <v>18</v>
      </c>
      <c r="M4340" t="str">
        <f>"20080825"</f>
        <v>20080825</v>
      </c>
    </row>
    <row r="4341" spans="1:13" x14ac:dyDescent="0.25">
      <c r="A4341" t="str">
        <f>"00537814"</f>
        <v>00537814</v>
      </c>
      <c r="B4341" t="s">
        <v>3958</v>
      </c>
      <c r="C4341" t="s">
        <v>358</v>
      </c>
      <c r="D4341" t="s">
        <v>16</v>
      </c>
      <c r="E4341" t="s">
        <v>16</v>
      </c>
      <c r="F4341" t="s">
        <v>17</v>
      </c>
      <c r="G4341" t="str">
        <f>"31"</f>
        <v>31</v>
      </c>
      <c r="H4341" t="str">
        <f>"0  "</f>
        <v xml:space="preserve">0  </v>
      </c>
      <c r="I4341" t="str">
        <f>"2020/08/14"</f>
        <v>2020/08/14</v>
      </c>
      <c r="J4341" t="str">
        <f>"502"</f>
        <v>502</v>
      </c>
      <c r="K4341" t="s">
        <v>18</v>
      </c>
      <c r="L4341" t="s">
        <v>18</v>
      </c>
      <c r="M4341" t="s">
        <v>18</v>
      </c>
    </row>
    <row r="4342" spans="1:13" x14ac:dyDescent="0.25">
      <c r="A4342" t="str">
        <f>"00719236"</f>
        <v>00719236</v>
      </c>
      <c r="B4342" t="s">
        <v>4051</v>
      </c>
      <c r="C4342" t="s">
        <v>1240</v>
      </c>
      <c r="D4342" t="s">
        <v>25</v>
      </c>
      <c r="E4342" t="s">
        <v>26</v>
      </c>
      <c r="F4342" t="s">
        <v>17</v>
      </c>
      <c r="G4342" t="str">
        <f>"31"</f>
        <v>31</v>
      </c>
      <c r="H4342" t="str">
        <f>"0  "</f>
        <v xml:space="preserve">0  </v>
      </c>
      <c r="I4342" t="str">
        <f>"2020/08/25"</f>
        <v>2020/08/25</v>
      </c>
      <c r="J4342" t="str">
        <f>"503"</f>
        <v>503</v>
      </c>
      <c r="K4342" t="s">
        <v>18</v>
      </c>
      <c r="L4342" t="s">
        <v>18</v>
      </c>
      <c r="M4342" t="s">
        <v>18</v>
      </c>
    </row>
    <row r="4343" spans="1:13" x14ac:dyDescent="0.25">
      <c r="A4343" t="str">
        <f>"00593900"</f>
        <v>00593900</v>
      </c>
      <c r="B4343" t="s">
        <v>19</v>
      </c>
      <c r="C4343" t="s">
        <v>20</v>
      </c>
      <c r="D4343" t="s">
        <v>21</v>
      </c>
      <c r="E4343" t="s">
        <v>16</v>
      </c>
      <c r="F4343" t="s">
        <v>17</v>
      </c>
      <c r="G4343" t="str">
        <f>"33"</f>
        <v>33</v>
      </c>
      <c r="H4343" t="str">
        <f>"3  "</f>
        <v xml:space="preserve">3  </v>
      </c>
      <c r="I4343" t="str">
        <f>"2019/01/29"</f>
        <v>2019/01/29</v>
      </c>
      <c r="J4343" t="str">
        <f>"502"</f>
        <v>502</v>
      </c>
      <c r="K4343" t="str">
        <f>"20600623"</f>
        <v>20600623</v>
      </c>
      <c r="L4343" t="s">
        <v>18</v>
      </c>
      <c r="M4343" t="str">
        <f>"20150516"</f>
        <v>20150516</v>
      </c>
    </row>
    <row r="4344" spans="1:13" x14ac:dyDescent="0.25">
      <c r="A4344" t="str">
        <f>"00619331"</f>
        <v>00619331</v>
      </c>
      <c r="B4344" t="s">
        <v>29</v>
      </c>
      <c r="C4344" t="s">
        <v>30</v>
      </c>
      <c r="D4344" t="s">
        <v>31</v>
      </c>
      <c r="E4344" t="s">
        <v>26</v>
      </c>
      <c r="F4344" t="s">
        <v>17</v>
      </c>
      <c r="G4344" t="str">
        <f>"33"</f>
        <v>33</v>
      </c>
      <c r="H4344" t="str">
        <f>"3  "</f>
        <v xml:space="preserve">3  </v>
      </c>
      <c r="I4344" t="str">
        <f>"2018/04/04"</f>
        <v>2018/04/04</v>
      </c>
      <c r="J4344" t="str">
        <f>"503"</f>
        <v>503</v>
      </c>
      <c r="K4344" t="str">
        <f>"20230607"</f>
        <v>20230607</v>
      </c>
      <c r="L4344" t="s">
        <v>18</v>
      </c>
      <c r="M4344" t="str">
        <f>"20160601"</f>
        <v>20160601</v>
      </c>
    </row>
    <row r="4345" spans="1:13" x14ac:dyDescent="0.25">
      <c r="A4345" t="str">
        <f>"00439171"</f>
        <v>00439171</v>
      </c>
      <c r="B4345" t="s">
        <v>56</v>
      </c>
      <c r="C4345" t="s">
        <v>57</v>
      </c>
      <c r="D4345" t="s">
        <v>40</v>
      </c>
      <c r="E4345" t="s">
        <v>26</v>
      </c>
      <c r="F4345" t="s">
        <v>17</v>
      </c>
      <c r="G4345" t="str">
        <f>"33"</f>
        <v>33</v>
      </c>
      <c r="H4345" t="str">
        <f>"3  "</f>
        <v xml:space="preserve">3  </v>
      </c>
      <c r="I4345" t="str">
        <f>"2018/11/26"</f>
        <v>2018/11/26</v>
      </c>
      <c r="J4345" t="str">
        <f>"502"</f>
        <v>502</v>
      </c>
      <c r="K4345" t="str">
        <f>"20390404"</f>
        <v>20390404</v>
      </c>
      <c r="L4345" t="s">
        <v>18</v>
      </c>
      <c r="M4345" t="str">
        <f>"20161007"</f>
        <v>20161007</v>
      </c>
    </row>
    <row r="4346" spans="1:13" x14ac:dyDescent="0.25">
      <c r="A4346" t="str">
        <f>"00306213"</f>
        <v>00306213</v>
      </c>
      <c r="B4346" t="s">
        <v>86</v>
      </c>
      <c r="C4346" t="s">
        <v>30</v>
      </c>
      <c r="D4346" t="s">
        <v>16</v>
      </c>
      <c r="E4346" t="s">
        <v>26</v>
      </c>
      <c r="F4346" t="s">
        <v>17</v>
      </c>
      <c r="G4346" t="str">
        <f>"33"</f>
        <v>33</v>
      </c>
      <c r="H4346" t="str">
        <f>"3  "</f>
        <v xml:space="preserve">3  </v>
      </c>
      <c r="I4346" t="str">
        <f>"2009/02/04"</f>
        <v>2009/02/04</v>
      </c>
      <c r="J4346" t="str">
        <f>"502"</f>
        <v>502</v>
      </c>
      <c r="K4346" t="str">
        <f>"20270704"</f>
        <v>20270704</v>
      </c>
      <c r="L4346" t="s">
        <v>18</v>
      </c>
      <c r="M4346" t="str">
        <f>"19950324"</f>
        <v>19950324</v>
      </c>
    </row>
    <row r="4347" spans="1:13" x14ac:dyDescent="0.25">
      <c r="A4347" t="str">
        <f>"00164643"</f>
        <v>00164643</v>
      </c>
      <c r="B4347" t="s">
        <v>114</v>
      </c>
      <c r="C4347" t="s">
        <v>125</v>
      </c>
      <c r="D4347" t="s">
        <v>21</v>
      </c>
      <c r="E4347" t="s">
        <v>26</v>
      </c>
      <c r="F4347" t="s">
        <v>17</v>
      </c>
      <c r="G4347" t="str">
        <f>"33"</f>
        <v>33</v>
      </c>
      <c r="H4347" t="str">
        <f>"7  "</f>
        <v xml:space="preserve">7  </v>
      </c>
      <c r="I4347" t="str">
        <f>"2019/05/17"</f>
        <v>2019/05/17</v>
      </c>
      <c r="J4347" t="str">
        <f>"502"</f>
        <v>502</v>
      </c>
      <c r="K4347" t="s">
        <v>18</v>
      </c>
      <c r="L4347" t="str">
        <f>"20100621"</f>
        <v>20100621</v>
      </c>
      <c r="M4347" t="str">
        <f>"19810831"</f>
        <v>19810831</v>
      </c>
    </row>
    <row r="4348" spans="1:13" x14ac:dyDescent="0.25">
      <c r="A4348" t="str">
        <f>"00640006"</f>
        <v>00640006</v>
      </c>
      <c r="B4348" t="s">
        <v>114</v>
      </c>
      <c r="C4348" t="s">
        <v>128</v>
      </c>
      <c r="D4348" t="s">
        <v>21</v>
      </c>
      <c r="E4348" t="s">
        <v>26</v>
      </c>
      <c r="F4348" t="s">
        <v>17</v>
      </c>
      <c r="G4348" t="str">
        <f>"33"</f>
        <v>33</v>
      </c>
      <c r="H4348" t="str">
        <f>"3  "</f>
        <v xml:space="preserve">3  </v>
      </c>
      <c r="I4348" t="str">
        <f>"2018/11/20"</f>
        <v>2018/11/20</v>
      </c>
      <c r="J4348" t="str">
        <f>"502"</f>
        <v>502</v>
      </c>
      <c r="K4348" t="str">
        <f>"20320514"</f>
        <v>20320514</v>
      </c>
      <c r="L4348" t="s">
        <v>18</v>
      </c>
      <c r="M4348" t="str">
        <f>"20170212"</f>
        <v>20170212</v>
      </c>
    </row>
    <row r="4349" spans="1:13" x14ac:dyDescent="0.25">
      <c r="A4349" t="str">
        <f>"00624628"</f>
        <v>00624628</v>
      </c>
      <c r="B4349" t="s">
        <v>131</v>
      </c>
      <c r="C4349" t="s">
        <v>133</v>
      </c>
      <c r="D4349" t="s">
        <v>61</v>
      </c>
      <c r="E4349" t="s">
        <v>16</v>
      </c>
      <c r="F4349" t="s">
        <v>17</v>
      </c>
      <c r="G4349" t="str">
        <f>"33"</f>
        <v>33</v>
      </c>
      <c r="H4349" t="str">
        <f>"3  "</f>
        <v xml:space="preserve">3  </v>
      </c>
      <c r="I4349" t="str">
        <f>"2019/01/17"</f>
        <v>2019/01/17</v>
      </c>
      <c r="J4349" t="str">
        <f>"503"</f>
        <v>503</v>
      </c>
      <c r="K4349" t="str">
        <f>"20311102"</f>
        <v>20311102</v>
      </c>
      <c r="L4349" t="s">
        <v>18</v>
      </c>
      <c r="M4349" t="str">
        <f>"20140702"</f>
        <v>20140702</v>
      </c>
    </row>
    <row r="4350" spans="1:13" x14ac:dyDescent="0.25">
      <c r="A4350" t="str">
        <f>"00388021"</f>
        <v>00388021</v>
      </c>
      <c r="B4350" t="s">
        <v>139</v>
      </c>
      <c r="C4350" t="s">
        <v>140</v>
      </c>
      <c r="D4350" t="s">
        <v>61</v>
      </c>
      <c r="E4350" t="s">
        <v>16</v>
      </c>
      <c r="F4350" t="s">
        <v>17</v>
      </c>
      <c r="G4350" t="str">
        <f>"33"</f>
        <v>33</v>
      </c>
      <c r="H4350" t="str">
        <f>"3  "</f>
        <v xml:space="preserve">3  </v>
      </c>
      <c r="I4350" t="str">
        <f>"2018/10/16"</f>
        <v>2018/10/16</v>
      </c>
      <c r="J4350" t="str">
        <f>"502"</f>
        <v>502</v>
      </c>
      <c r="K4350" t="str">
        <f>"20320220"</f>
        <v>20320220</v>
      </c>
      <c r="L4350" t="s">
        <v>18</v>
      </c>
      <c r="M4350" t="str">
        <f>"20160121"</f>
        <v>20160121</v>
      </c>
    </row>
    <row r="4351" spans="1:13" x14ac:dyDescent="0.25">
      <c r="A4351" t="str">
        <f>"00280323"</f>
        <v>00280323</v>
      </c>
      <c r="B4351" t="s">
        <v>151</v>
      </c>
      <c r="C4351" t="s">
        <v>152</v>
      </c>
      <c r="D4351" t="s">
        <v>97</v>
      </c>
      <c r="E4351" t="s">
        <v>26</v>
      </c>
      <c r="F4351" t="s">
        <v>17</v>
      </c>
      <c r="G4351" t="str">
        <f>"33"</f>
        <v>33</v>
      </c>
      <c r="H4351" t="str">
        <f>"3  "</f>
        <v xml:space="preserve">3  </v>
      </c>
      <c r="I4351" t="str">
        <f>"2018/11/20"</f>
        <v>2018/11/20</v>
      </c>
      <c r="J4351" t="str">
        <f>"502"</f>
        <v>502</v>
      </c>
      <c r="K4351" t="str">
        <f>"20590121"</f>
        <v>20590121</v>
      </c>
      <c r="L4351" t="s">
        <v>18</v>
      </c>
      <c r="M4351" t="str">
        <f>"19960720"</f>
        <v>19960720</v>
      </c>
    </row>
    <row r="4352" spans="1:13" x14ac:dyDescent="0.25">
      <c r="A4352" t="str">
        <f>"00101816"</f>
        <v>00101816</v>
      </c>
      <c r="B4352" t="s">
        <v>173</v>
      </c>
      <c r="C4352" t="s">
        <v>174</v>
      </c>
      <c r="D4352" t="s">
        <v>25</v>
      </c>
      <c r="E4352" t="s">
        <v>16</v>
      </c>
      <c r="F4352" t="s">
        <v>17</v>
      </c>
      <c r="G4352" t="str">
        <f>"33"</f>
        <v>33</v>
      </c>
      <c r="H4352" t="str">
        <f>"7  "</f>
        <v xml:space="preserve">7  </v>
      </c>
      <c r="I4352" t="str">
        <f>"2017/11/03"</f>
        <v>2017/11/03</v>
      </c>
      <c r="J4352" t="str">
        <f>"502"</f>
        <v>502</v>
      </c>
      <c r="K4352" t="s">
        <v>18</v>
      </c>
      <c r="L4352" t="s">
        <v>18</v>
      </c>
      <c r="M4352" t="str">
        <f>"19950405"</f>
        <v>19950405</v>
      </c>
    </row>
    <row r="4353" spans="1:13" x14ac:dyDescent="0.25">
      <c r="A4353" t="str">
        <f>"00487049"</f>
        <v>00487049</v>
      </c>
      <c r="B4353" t="s">
        <v>190</v>
      </c>
      <c r="C4353" t="s">
        <v>191</v>
      </c>
      <c r="D4353" t="s">
        <v>21</v>
      </c>
      <c r="E4353" t="s">
        <v>26</v>
      </c>
      <c r="F4353" t="s">
        <v>17</v>
      </c>
      <c r="G4353" t="str">
        <f>"33"</f>
        <v>33</v>
      </c>
      <c r="H4353" t="str">
        <f>"7  "</f>
        <v xml:space="preserve">7  </v>
      </c>
      <c r="I4353" t="str">
        <f>"2019/12/05"</f>
        <v>2019/12/05</v>
      </c>
      <c r="J4353" t="str">
        <f>"502"</f>
        <v>502</v>
      </c>
      <c r="K4353" t="s">
        <v>18</v>
      </c>
      <c r="L4353" t="s">
        <v>18</v>
      </c>
      <c r="M4353" t="str">
        <f>"20060109"</f>
        <v>20060109</v>
      </c>
    </row>
    <row r="4354" spans="1:13" x14ac:dyDescent="0.25">
      <c r="A4354" t="str">
        <f>"00159084"</f>
        <v>00159084</v>
      </c>
      <c r="B4354" t="s">
        <v>196</v>
      </c>
      <c r="C4354" t="s">
        <v>197</v>
      </c>
      <c r="D4354" t="s">
        <v>45</v>
      </c>
      <c r="E4354" t="s">
        <v>16</v>
      </c>
      <c r="F4354" t="s">
        <v>17</v>
      </c>
      <c r="G4354" t="str">
        <f>"33"</f>
        <v>33</v>
      </c>
      <c r="H4354" t="str">
        <f>"3  "</f>
        <v xml:space="preserve">3  </v>
      </c>
      <c r="I4354" t="str">
        <f>"2017/11/03"</f>
        <v>2017/11/03</v>
      </c>
      <c r="J4354" t="str">
        <f>"502"</f>
        <v>502</v>
      </c>
      <c r="K4354" t="str">
        <f>"20311023"</f>
        <v>20311023</v>
      </c>
      <c r="L4354" t="s">
        <v>18</v>
      </c>
      <c r="M4354" t="str">
        <f>"19951002"</f>
        <v>19951002</v>
      </c>
    </row>
    <row r="4355" spans="1:13" x14ac:dyDescent="0.25">
      <c r="A4355" t="str">
        <f>"00246639"</f>
        <v>00246639</v>
      </c>
      <c r="B4355" t="s">
        <v>198</v>
      </c>
      <c r="C4355" t="s">
        <v>199</v>
      </c>
      <c r="D4355" t="s">
        <v>15</v>
      </c>
      <c r="E4355" t="s">
        <v>26</v>
      </c>
      <c r="F4355" t="s">
        <v>17</v>
      </c>
      <c r="G4355" t="str">
        <f>"33"</f>
        <v>33</v>
      </c>
      <c r="H4355" t="str">
        <f>"3  "</f>
        <v xml:space="preserve">3  </v>
      </c>
      <c r="I4355" t="str">
        <f>"2019/10/10"</f>
        <v>2019/10/10</v>
      </c>
      <c r="J4355" t="str">
        <f>"510"</f>
        <v>510</v>
      </c>
      <c r="K4355" t="str">
        <f>"20331102"</f>
        <v>20331102</v>
      </c>
      <c r="L4355" t="s">
        <v>18</v>
      </c>
      <c r="M4355" t="str">
        <f>"20010523"</f>
        <v>20010523</v>
      </c>
    </row>
    <row r="4356" spans="1:13" x14ac:dyDescent="0.25">
      <c r="A4356" t="str">
        <f>"00272967"</f>
        <v>00272967</v>
      </c>
      <c r="B4356" t="s">
        <v>212</v>
      </c>
      <c r="C4356" t="s">
        <v>213</v>
      </c>
      <c r="D4356" t="s">
        <v>53</v>
      </c>
      <c r="E4356" t="s">
        <v>16</v>
      </c>
      <c r="F4356" t="s">
        <v>17</v>
      </c>
      <c r="G4356" t="str">
        <f>"33"</f>
        <v>33</v>
      </c>
      <c r="H4356" t="str">
        <f>"7  "</f>
        <v xml:space="preserve">7  </v>
      </c>
      <c r="I4356" t="str">
        <f>"1998/06/13"</f>
        <v>1998/06/13</v>
      </c>
      <c r="J4356" t="str">
        <f>"502"</f>
        <v>502</v>
      </c>
      <c r="K4356" t="s">
        <v>18</v>
      </c>
      <c r="L4356" t="s">
        <v>18</v>
      </c>
      <c r="M4356" t="str">
        <f>"19910916"</f>
        <v>19910916</v>
      </c>
    </row>
    <row r="4357" spans="1:13" x14ac:dyDescent="0.25">
      <c r="A4357" t="str">
        <f>"00722272"</f>
        <v>00722272</v>
      </c>
      <c r="B4357" t="s">
        <v>217</v>
      </c>
      <c r="C4357" t="s">
        <v>218</v>
      </c>
      <c r="D4357" t="s">
        <v>47</v>
      </c>
      <c r="E4357" t="s">
        <v>16</v>
      </c>
      <c r="F4357" t="s">
        <v>17</v>
      </c>
      <c r="G4357" t="str">
        <f>"33"</f>
        <v>33</v>
      </c>
      <c r="H4357" t="str">
        <f>"3  "</f>
        <v xml:space="preserve">3  </v>
      </c>
      <c r="I4357" t="str">
        <f>"2018/12/04"</f>
        <v>2018/12/04</v>
      </c>
      <c r="J4357" t="str">
        <f>"502"</f>
        <v>502</v>
      </c>
      <c r="K4357" t="str">
        <f>"20300325"</f>
        <v>20300325</v>
      </c>
      <c r="L4357" t="s">
        <v>18</v>
      </c>
      <c r="M4357" t="str">
        <f>"20120727"</f>
        <v>20120727</v>
      </c>
    </row>
    <row r="4358" spans="1:13" x14ac:dyDescent="0.25">
      <c r="A4358" t="str">
        <f>"00585852"</f>
        <v>00585852</v>
      </c>
      <c r="B4358" t="s">
        <v>220</v>
      </c>
      <c r="C4358" t="s">
        <v>104</v>
      </c>
      <c r="D4358" t="s">
        <v>40</v>
      </c>
      <c r="E4358" t="s">
        <v>16</v>
      </c>
      <c r="F4358" t="s">
        <v>17</v>
      </c>
      <c r="G4358" t="str">
        <f>"33"</f>
        <v>33</v>
      </c>
      <c r="H4358" t="str">
        <f>"3  "</f>
        <v xml:space="preserve">3  </v>
      </c>
      <c r="I4358" t="str">
        <f>"2018/12/12"</f>
        <v>2018/12/12</v>
      </c>
      <c r="J4358" t="str">
        <f>"502"</f>
        <v>502</v>
      </c>
      <c r="K4358" t="str">
        <f>"20290215"</f>
        <v>20290215</v>
      </c>
      <c r="L4358" t="s">
        <v>18</v>
      </c>
      <c r="M4358" t="str">
        <f>"20070316"</f>
        <v>20070316</v>
      </c>
    </row>
    <row r="4359" spans="1:13" x14ac:dyDescent="0.25">
      <c r="A4359" t="str">
        <f>"00294204"</f>
        <v>00294204</v>
      </c>
      <c r="B4359" t="s">
        <v>226</v>
      </c>
      <c r="C4359" t="s">
        <v>230</v>
      </c>
      <c r="D4359" t="s">
        <v>15</v>
      </c>
      <c r="E4359" t="s">
        <v>26</v>
      </c>
      <c r="F4359" t="s">
        <v>17</v>
      </c>
      <c r="G4359" t="str">
        <f>"33"</f>
        <v>33</v>
      </c>
      <c r="H4359" t="str">
        <f>"7  "</f>
        <v xml:space="preserve">7  </v>
      </c>
      <c r="I4359" t="str">
        <f>"2019/02/25"</f>
        <v>2019/02/25</v>
      </c>
      <c r="J4359" t="str">
        <f>"502"</f>
        <v>502</v>
      </c>
      <c r="K4359" t="s">
        <v>18</v>
      </c>
      <c r="L4359" t="s">
        <v>18</v>
      </c>
      <c r="M4359" t="str">
        <f>"20020515"</f>
        <v>20020515</v>
      </c>
    </row>
    <row r="4360" spans="1:13" x14ac:dyDescent="0.25">
      <c r="A4360" t="str">
        <f>"00562875"</f>
        <v>00562875</v>
      </c>
      <c r="B4360" t="s">
        <v>234</v>
      </c>
      <c r="C4360" t="s">
        <v>161</v>
      </c>
      <c r="D4360" t="s">
        <v>45</v>
      </c>
      <c r="E4360" t="s">
        <v>26</v>
      </c>
      <c r="F4360" t="s">
        <v>17</v>
      </c>
      <c r="G4360" t="str">
        <f>"33"</f>
        <v>33</v>
      </c>
      <c r="H4360" t="str">
        <f>"3  "</f>
        <v xml:space="preserve">3  </v>
      </c>
      <c r="I4360" t="str">
        <f>"2019/05/17"</f>
        <v>2019/05/17</v>
      </c>
      <c r="J4360" t="str">
        <f>"502"</f>
        <v>502</v>
      </c>
      <c r="K4360" t="str">
        <f>"20250816"</f>
        <v>20250816</v>
      </c>
      <c r="L4360" t="s">
        <v>18</v>
      </c>
      <c r="M4360" t="str">
        <f>"20051216"</f>
        <v>20051216</v>
      </c>
    </row>
    <row r="4361" spans="1:13" x14ac:dyDescent="0.25">
      <c r="A4361" t="str">
        <f>"00308920"</f>
        <v>00308920</v>
      </c>
      <c r="B4361" t="s">
        <v>300</v>
      </c>
      <c r="C4361" t="s">
        <v>169</v>
      </c>
      <c r="D4361" t="s">
        <v>182</v>
      </c>
      <c r="E4361" t="s">
        <v>26</v>
      </c>
      <c r="F4361" t="s">
        <v>17</v>
      </c>
      <c r="G4361" t="str">
        <f>"33"</f>
        <v>33</v>
      </c>
      <c r="H4361" t="str">
        <f>"3  "</f>
        <v xml:space="preserve">3  </v>
      </c>
      <c r="I4361" t="str">
        <f>"2018/11/20"</f>
        <v>2018/11/20</v>
      </c>
      <c r="J4361" t="str">
        <f>"502"</f>
        <v>502</v>
      </c>
      <c r="K4361" t="str">
        <f>"20401215"</f>
        <v>20401215</v>
      </c>
      <c r="L4361" t="s">
        <v>18</v>
      </c>
      <c r="M4361" t="str">
        <f>"20140401"</f>
        <v>20140401</v>
      </c>
    </row>
    <row r="4362" spans="1:13" x14ac:dyDescent="0.25">
      <c r="A4362" t="str">
        <f>"00582322"</f>
        <v>00582322</v>
      </c>
      <c r="B4362" t="s">
        <v>355</v>
      </c>
      <c r="C4362" t="s">
        <v>356</v>
      </c>
      <c r="D4362" t="s">
        <v>25</v>
      </c>
      <c r="E4362" t="s">
        <v>26</v>
      </c>
      <c r="F4362" t="s">
        <v>17</v>
      </c>
      <c r="G4362" t="str">
        <f>"33"</f>
        <v>33</v>
      </c>
      <c r="H4362" t="str">
        <f>"3  "</f>
        <v xml:space="preserve">3  </v>
      </c>
      <c r="I4362" t="str">
        <f>"2019/02/27"</f>
        <v>2019/02/27</v>
      </c>
      <c r="J4362" t="str">
        <f>"502"</f>
        <v>502</v>
      </c>
      <c r="K4362" t="str">
        <f>"20250430"</f>
        <v>20250430</v>
      </c>
      <c r="L4362" t="s">
        <v>18</v>
      </c>
      <c r="M4362" t="str">
        <f>"20090206"</f>
        <v>20090206</v>
      </c>
    </row>
    <row r="4363" spans="1:13" x14ac:dyDescent="0.25">
      <c r="A4363" t="str">
        <f>"00170187"</f>
        <v>00170187</v>
      </c>
      <c r="B4363" t="s">
        <v>393</v>
      </c>
      <c r="C4363" t="s">
        <v>327</v>
      </c>
      <c r="D4363" t="s">
        <v>215</v>
      </c>
      <c r="E4363" t="s">
        <v>26</v>
      </c>
      <c r="F4363" t="s">
        <v>17</v>
      </c>
      <c r="G4363" t="str">
        <f>"33"</f>
        <v>33</v>
      </c>
      <c r="H4363" t="str">
        <f>"3  "</f>
        <v xml:space="preserve">3  </v>
      </c>
      <c r="I4363" t="str">
        <f>"2017/11/03"</f>
        <v>2017/11/03</v>
      </c>
      <c r="J4363" t="str">
        <f>"502"</f>
        <v>502</v>
      </c>
      <c r="K4363" t="str">
        <f>"20401103"</f>
        <v>20401103</v>
      </c>
      <c r="L4363" t="s">
        <v>18</v>
      </c>
      <c r="M4363" t="str">
        <f>"19970921"</f>
        <v>19970921</v>
      </c>
    </row>
    <row r="4364" spans="1:13" x14ac:dyDescent="0.25">
      <c r="A4364" t="str">
        <f>"00216199"</f>
        <v>00216199</v>
      </c>
      <c r="B4364" t="s">
        <v>396</v>
      </c>
      <c r="C4364" t="s">
        <v>96</v>
      </c>
      <c r="D4364" t="s">
        <v>47</v>
      </c>
      <c r="E4364" t="s">
        <v>26</v>
      </c>
      <c r="F4364" t="s">
        <v>17</v>
      </c>
      <c r="G4364" t="str">
        <f>"33"</f>
        <v>33</v>
      </c>
      <c r="H4364" t="str">
        <f>"3  "</f>
        <v xml:space="preserve">3  </v>
      </c>
      <c r="I4364" t="str">
        <f>"2018/12/04"</f>
        <v>2018/12/04</v>
      </c>
      <c r="J4364" t="str">
        <f>"502"</f>
        <v>502</v>
      </c>
      <c r="K4364" t="str">
        <f>"20410703"</f>
        <v>20410703</v>
      </c>
      <c r="L4364" t="s">
        <v>18</v>
      </c>
      <c r="M4364" t="str">
        <f>"20100226"</f>
        <v>20100226</v>
      </c>
    </row>
    <row r="4365" spans="1:13" x14ac:dyDescent="0.25">
      <c r="A4365" t="str">
        <f>"00568440"</f>
        <v>00568440</v>
      </c>
      <c r="B4365" t="s">
        <v>406</v>
      </c>
      <c r="C4365" t="s">
        <v>407</v>
      </c>
      <c r="D4365" t="s">
        <v>53</v>
      </c>
      <c r="E4365" t="s">
        <v>26</v>
      </c>
      <c r="F4365" t="s">
        <v>17</v>
      </c>
      <c r="G4365" t="str">
        <f>"33"</f>
        <v>33</v>
      </c>
      <c r="H4365" t="str">
        <f>"3  "</f>
        <v xml:space="preserve">3  </v>
      </c>
      <c r="I4365" t="str">
        <f>"2017/06/27"</f>
        <v>2017/06/27</v>
      </c>
      <c r="J4365" t="str">
        <f>"502"</f>
        <v>502</v>
      </c>
      <c r="K4365" t="str">
        <f>"20481011"</f>
        <v>20481011</v>
      </c>
      <c r="L4365" t="s">
        <v>18</v>
      </c>
      <c r="M4365" t="str">
        <f>"20120529"</f>
        <v>20120529</v>
      </c>
    </row>
    <row r="4366" spans="1:13" x14ac:dyDescent="0.25">
      <c r="A4366" t="str">
        <f>"00496645"</f>
        <v>00496645</v>
      </c>
      <c r="B4366" t="s">
        <v>406</v>
      </c>
      <c r="C4366" t="s">
        <v>72</v>
      </c>
      <c r="D4366" t="s">
        <v>25</v>
      </c>
      <c r="E4366" t="s">
        <v>26</v>
      </c>
      <c r="F4366" t="s">
        <v>17</v>
      </c>
      <c r="G4366" t="str">
        <f>"33"</f>
        <v>33</v>
      </c>
      <c r="H4366" t="str">
        <f>"3  "</f>
        <v xml:space="preserve">3  </v>
      </c>
      <c r="I4366" t="str">
        <f>"2019/02/27"</f>
        <v>2019/02/27</v>
      </c>
      <c r="J4366" t="str">
        <f>"502"</f>
        <v>502</v>
      </c>
      <c r="K4366" t="str">
        <f>"20220527"</f>
        <v>20220527</v>
      </c>
      <c r="L4366" t="s">
        <v>18</v>
      </c>
      <c r="M4366" t="str">
        <f>"20081231"</f>
        <v>20081231</v>
      </c>
    </row>
    <row r="4367" spans="1:13" x14ac:dyDescent="0.25">
      <c r="A4367" t="str">
        <f>"00181727"</f>
        <v>00181727</v>
      </c>
      <c r="B4367" t="s">
        <v>428</v>
      </c>
      <c r="C4367" t="s">
        <v>48</v>
      </c>
      <c r="D4367" t="s">
        <v>25</v>
      </c>
      <c r="E4367" t="s">
        <v>16</v>
      </c>
      <c r="F4367" t="s">
        <v>17</v>
      </c>
      <c r="G4367" t="str">
        <f>"33"</f>
        <v>33</v>
      </c>
      <c r="H4367" t="str">
        <f>"3  "</f>
        <v xml:space="preserve">3  </v>
      </c>
      <c r="I4367" t="str">
        <f>"2011/07/13"</f>
        <v>2011/07/13</v>
      </c>
      <c r="J4367" t="str">
        <f>"510"</f>
        <v>510</v>
      </c>
      <c r="K4367" t="str">
        <f>"20400204"</f>
        <v>20400204</v>
      </c>
      <c r="L4367" t="s">
        <v>18</v>
      </c>
      <c r="M4367" t="str">
        <f>"20100118"</f>
        <v>20100118</v>
      </c>
    </row>
    <row r="4368" spans="1:13" x14ac:dyDescent="0.25">
      <c r="A4368" t="str">
        <f>"00068049"</f>
        <v>00068049</v>
      </c>
      <c r="B4368" t="s">
        <v>441</v>
      </c>
      <c r="C4368" t="s">
        <v>442</v>
      </c>
      <c r="D4368" t="s">
        <v>26</v>
      </c>
      <c r="E4368" t="s">
        <v>26</v>
      </c>
      <c r="F4368" t="s">
        <v>17</v>
      </c>
      <c r="G4368" t="str">
        <f>"33"</f>
        <v>33</v>
      </c>
      <c r="H4368" t="str">
        <f>"7  "</f>
        <v xml:space="preserve">7  </v>
      </c>
      <c r="I4368" t="str">
        <f>"2019/08/05"</f>
        <v>2019/08/05</v>
      </c>
      <c r="J4368" t="str">
        <f>"502"</f>
        <v>502</v>
      </c>
      <c r="K4368" t="s">
        <v>18</v>
      </c>
      <c r="L4368" t="str">
        <f>"20200117"</f>
        <v>20200117</v>
      </c>
      <c r="M4368" t="str">
        <f>"19781212"</f>
        <v>19781212</v>
      </c>
    </row>
    <row r="4369" spans="1:13" x14ac:dyDescent="0.25">
      <c r="A4369" t="str">
        <f>"00461358"</f>
        <v>00461358</v>
      </c>
      <c r="B4369" t="s">
        <v>448</v>
      </c>
      <c r="C4369" t="s">
        <v>450</v>
      </c>
      <c r="D4369" t="s">
        <v>25</v>
      </c>
      <c r="E4369" t="s">
        <v>26</v>
      </c>
      <c r="F4369" t="s">
        <v>17</v>
      </c>
      <c r="G4369" t="str">
        <f>"33"</f>
        <v>33</v>
      </c>
      <c r="H4369" t="str">
        <f>"3  "</f>
        <v xml:space="preserve">3  </v>
      </c>
      <c r="I4369" t="str">
        <f>"2018/11/14"</f>
        <v>2018/11/14</v>
      </c>
      <c r="J4369" t="str">
        <f>"502"</f>
        <v>502</v>
      </c>
      <c r="K4369" t="str">
        <f>"20290422"</f>
        <v>20290422</v>
      </c>
      <c r="L4369" t="s">
        <v>18</v>
      </c>
      <c r="M4369" t="str">
        <f>"20070130"</f>
        <v>20070130</v>
      </c>
    </row>
    <row r="4370" spans="1:13" x14ac:dyDescent="0.25">
      <c r="A4370" t="str">
        <f>"00640798"</f>
        <v>00640798</v>
      </c>
      <c r="B4370" t="s">
        <v>467</v>
      </c>
      <c r="C4370" t="s">
        <v>468</v>
      </c>
      <c r="D4370" t="s">
        <v>21</v>
      </c>
      <c r="E4370" t="s">
        <v>26</v>
      </c>
      <c r="F4370" t="s">
        <v>17</v>
      </c>
      <c r="G4370" t="str">
        <f>"33"</f>
        <v>33</v>
      </c>
      <c r="H4370" t="str">
        <f>"3  "</f>
        <v xml:space="preserve">3  </v>
      </c>
      <c r="I4370" t="str">
        <f>"2018/11/14"</f>
        <v>2018/11/14</v>
      </c>
      <c r="J4370" t="str">
        <f>"502"</f>
        <v>502</v>
      </c>
      <c r="K4370" t="str">
        <f>"20270824"</f>
        <v>20270824</v>
      </c>
      <c r="L4370" t="s">
        <v>18</v>
      </c>
      <c r="M4370" t="str">
        <f>"20170922"</f>
        <v>20170922</v>
      </c>
    </row>
    <row r="4371" spans="1:13" x14ac:dyDescent="0.25">
      <c r="A4371" t="str">
        <f>"00779636"</f>
        <v>00779636</v>
      </c>
      <c r="B4371" t="s">
        <v>472</v>
      </c>
      <c r="C4371" t="s">
        <v>471</v>
      </c>
      <c r="D4371" t="s">
        <v>97</v>
      </c>
      <c r="E4371" t="s">
        <v>16</v>
      </c>
      <c r="F4371" t="s">
        <v>17</v>
      </c>
      <c r="G4371" t="str">
        <f>"33"</f>
        <v>33</v>
      </c>
      <c r="H4371" t="str">
        <f>"3  "</f>
        <v xml:space="preserve">3  </v>
      </c>
      <c r="I4371" t="str">
        <f>"2019/02/06"</f>
        <v>2019/02/06</v>
      </c>
      <c r="J4371" t="str">
        <f>"502"</f>
        <v>502</v>
      </c>
      <c r="K4371" t="str">
        <f>"20480723"</f>
        <v>20480723</v>
      </c>
      <c r="L4371" t="s">
        <v>18</v>
      </c>
      <c r="M4371" t="str">
        <f>"20170126"</f>
        <v>20170126</v>
      </c>
    </row>
    <row r="4372" spans="1:13" x14ac:dyDescent="0.25">
      <c r="A4372" t="str">
        <f>"00712303"</f>
        <v>00712303</v>
      </c>
      <c r="B4372" t="s">
        <v>473</v>
      </c>
      <c r="C4372" t="s">
        <v>474</v>
      </c>
      <c r="D4372" t="s">
        <v>215</v>
      </c>
      <c r="E4372" t="s">
        <v>26</v>
      </c>
      <c r="F4372" t="s">
        <v>17</v>
      </c>
      <c r="G4372" t="str">
        <f>"33"</f>
        <v>33</v>
      </c>
      <c r="H4372" t="str">
        <f>"3  "</f>
        <v xml:space="preserve">3  </v>
      </c>
      <c r="I4372" t="str">
        <f>"2018/11/20"</f>
        <v>2018/11/20</v>
      </c>
      <c r="J4372" t="str">
        <f>"502"</f>
        <v>502</v>
      </c>
      <c r="K4372" t="str">
        <f>"20300709"</f>
        <v>20300709</v>
      </c>
      <c r="L4372" t="s">
        <v>18</v>
      </c>
      <c r="M4372" t="str">
        <f>"20150722"</f>
        <v>20150722</v>
      </c>
    </row>
    <row r="4373" spans="1:13" x14ac:dyDescent="0.25">
      <c r="A4373" t="str">
        <f>"00338360"</f>
        <v>00338360</v>
      </c>
      <c r="B4373" t="s">
        <v>534</v>
      </c>
      <c r="C4373" t="s">
        <v>302</v>
      </c>
      <c r="D4373" t="s">
        <v>80</v>
      </c>
      <c r="E4373" t="s">
        <v>26</v>
      </c>
      <c r="F4373" t="s">
        <v>17</v>
      </c>
      <c r="G4373" t="str">
        <f>"33"</f>
        <v>33</v>
      </c>
      <c r="H4373" t="str">
        <f>"3  "</f>
        <v xml:space="preserve">3  </v>
      </c>
      <c r="I4373" t="str">
        <f>"2017/11/03"</f>
        <v>2017/11/03</v>
      </c>
      <c r="J4373" t="str">
        <f>"502"</f>
        <v>502</v>
      </c>
      <c r="K4373" t="str">
        <f>"20260811"</f>
        <v>20260811</v>
      </c>
      <c r="L4373" t="s">
        <v>18</v>
      </c>
      <c r="M4373" t="str">
        <f>"20120512"</f>
        <v>20120512</v>
      </c>
    </row>
    <row r="4374" spans="1:13" x14ac:dyDescent="0.25">
      <c r="A4374" t="str">
        <f>"00656811"</f>
        <v>00656811</v>
      </c>
      <c r="B4374" t="s">
        <v>553</v>
      </c>
      <c r="C4374" t="s">
        <v>281</v>
      </c>
      <c r="D4374" t="s">
        <v>26</v>
      </c>
      <c r="E4374" t="s">
        <v>16</v>
      </c>
      <c r="F4374" t="s">
        <v>17</v>
      </c>
      <c r="G4374" t="str">
        <f>"33"</f>
        <v>33</v>
      </c>
      <c r="H4374" t="str">
        <f>"7  "</f>
        <v xml:space="preserve">7  </v>
      </c>
      <c r="I4374" t="str">
        <f>"2016/06/08"</f>
        <v>2016/06/08</v>
      </c>
      <c r="J4374" t="str">
        <f>"502"</f>
        <v>502</v>
      </c>
      <c r="K4374" t="s">
        <v>18</v>
      </c>
      <c r="L4374" t="s">
        <v>18</v>
      </c>
      <c r="M4374" t="str">
        <f>"20091217"</f>
        <v>20091217</v>
      </c>
    </row>
    <row r="4375" spans="1:13" x14ac:dyDescent="0.25">
      <c r="A4375" t="str">
        <f>"00450202"</f>
        <v>00450202</v>
      </c>
      <c r="B4375" t="s">
        <v>561</v>
      </c>
      <c r="C4375" t="s">
        <v>308</v>
      </c>
      <c r="D4375" t="s">
        <v>21</v>
      </c>
      <c r="E4375" t="s">
        <v>16</v>
      </c>
      <c r="F4375" t="s">
        <v>17</v>
      </c>
      <c r="G4375" t="str">
        <f>"33"</f>
        <v>33</v>
      </c>
      <c r="H4375" t="str">
        <f>"3  "</f>
        <v xml:space="preserve">3  </v>
      </c>
      <c r="I4375" t="str">
        <f>"2019/02/26"</f>
        <v>2019/02/26</v>
      </c>
      <c r="J4375" t="str">
        <f>"502"</f>
        <v>502</v>
      </c>
      <c r="K4375" t="str">
        <f>"20481022"</f>
        <v>20481022</v>
      </c>
      <c r="L4375" t="s">
        <v>18</v>
      </c>
      <c r="M4375" t="str">
        <f>"20120923"</f>
        <v>20120923</v>
      </c>
    </row>
    <row r="4376" spans="1:13" x14ac:dyDescent="0.25">
      <c r="A4376" t="str">
        <f>"00315294"</f>
        <v>00315294</v>
      </c>
      <c r="B4376" t="s">
        <v>574</v>
      </c>
      <c r="C4376" t="s">
        <v>72</v>
      </c>
      <c r="D4376" t="s">
        <v>37</v>
      </c>
      <c r="E4376" t="s">
        <v>26</v>
      </c>
      <c r="F4376" t="s">
        <v>17</v>
      </c>
      <c r="G4376" t="str">
        <f>"33"</f>
        <v>33</v>
      </c>
      <c r="H4376" t="str">
        <f>"7  "</f>
        <v xml:space="preserve">7  </v>
      </c>
      <c r="I4376" t="str">
        <f>"2018/12/14"</f>
        <v>2018/12/14</v>
      </c>
      <c r="J4376" t="str">
        <f>"510"</f>
        <v>510</v>
      </c>
      <c r="K4376" t="s">
        <v>18</v>
      </c>
      <c r="L4376" t="s">
        <v>18</v>
      </c>
      <c r="M4376" t="str">
        <f>"19980324"</f>
        <v>19980324</v>
      </c>
    </row>
    <row r="4377" spans="1:13" x14ac:dyDescent="0.25">
      <c r="A4377" t="str">
        <f>"00823005"</f>
        <v>00823005</v>
      </c>
      <c r="B4377" t="s">
        <v>575</v>
      </c>
      <c r="C4377" t="s">
        <v>576</v>
      </c>
      <c r="D4377" t="s">
        <v>25</v>
      </c>
      <c r="E4377" t="s">
        <v>26</v>
      </c>
      <c r="F4377" t="s">
        <v>34</v>
      </c>
      <c r="G4377" t="str">
        <f>"33"</f>
        <v>33</v>
      </c>
      <c r="H4377" t="str">
        <f>"3  "</f>
        <v xml:space="preserve">3  </v>
      </c>
      <c r="I4377" t="str">
        <f>"2019/02/14"</f>
        <v>2019/02/14</v>
      </c>
      <c r="J4377" t="str">
        <f>"501"</f>
        <v>501</v>
      </c>
      <c r="K4377" t="str">
        <f>"20340622"</f>
        <v>20340622</v>
      </c>
      <c r="L4377" t="s">
        <v>18</v>
      </c>
      <c r="M4377" t="str">
        <f>"20160426"</f>
        <v>20160426</v>
      </c>
    </row>
    <row r="4378" spans="1:13" x14ac:dyDescent="0.25">
      <c r="A4378" t="str">
        <f>"00298169"</f>
        <v>00298169</v>
      </c>
      <c r="B4378" t="s">
        <v>612</v>
      </c>
      <c r="C4378" t="s">
        <v>613</v>
      </c>
      <c r="D4378" t="s">
        <v>21</v>
      </c>
      <c r="E4378" t="s">
        <v>26</v>
      </c>
      <c r="F4378" t="s">
        <v>17</v>
      </c>
      <c r="G4378" t="str">
        <f>"33"</f>
        <v>33</v>
      </c>
      <c r="H4378" t="str">
        <f>"3  "</f>
        <v xml:space="preserve">3  </v>
      </c>
      <c r="I4378" t="str">
        <f>"2017/07/20"</f>
        <v>2017/07/20</v>
      </c>
      <c r="J4378" t="str">
        <f>"502"</f>
        <v>502</v>
      </c>
      <c r="K4378" t="str">
        <f>"20221012"</f>
        <v>20221012</v>
      </c>
      <c r="L4378" t="s">
        <v>18</v>
      </c>
      <c r="M4378" t="str">
        <f>"20030528"</f>
        <v>20030528</v>
      </c>
    </row>
    <row r="4379" spans="1:13" x14ac:dyDescent="0.25">
      <c r="A4379" t="str">
        <f>"00759942"</f>
        <v>00759942</v>
      </c>
      <c r="B4379" t="s">
        <v>634</v>
      </c>
      <c r="C4379" t="s">
        <v>136</v>
      </c>
      <c r="D4379" t="s">
        <v>121</v>
      </c>
      <c r="E4379" t="s">
        <v>26</v>
      </c>
      <c r="F4379" t="s">
        <v>17</v>
      </c>
      <c r="G4379" t="str">
        <f>"33"</f>
        <v>33</v>
      </c>
      <c r="H4379" t="str">
        <f>"3  "</f>
        <v xml:space="preserve">3  </v>
      </c>
      <c r="I4379" t="str">
        <f>"2019/01/29"</f>
        <v>2019/01/29</v>
      </c>
      <c r="J4379" t="str">
        <f>"502"</f>
        <v>502</v>
      </c>
      <c r="K4379" t="str">
        <f>"20270401"</f>
        <v>20270401</v>
      </c>
      <c r="L4379" t="s">
        <v>18</v>
      </c>
      <c r="M4379" t="str">
        <f>"20180417"</f>
        <v>20180417</v>
      </c>
    </row>
    <row r="4380" spans="1:13" x14ac:dyDescent="0.25">
      <c r="A4380" t="str">
        <f>"00229685"</f>
        <v>00229685</v>
      </c>
      <c r="B4380" t="s">
        <v>634</v>
      </c>
      <c r="C4380" t="s">
        <v>650</v>
      </c>
      <c r="D4380" t="s">
        <v>31</v>
      </c>
      <c r="E4380" t="s">
        <v>26</v>
      </c>
      <c r="F4380" t="s">
        <v>17</v>
      </c>
      <c r="G4380" t="str">
        <f>"33"</f>
        <v>33</v>
      </c>
      <c r="H4380" t="str">
        <f>"3  "</f>
        <v xml:space="preserve">3  </v>
      </c>
      <c r="I4380" t="str">
        <f>"2018/11/20"</f>
        <v>2018/11/20</v>
      </c>
      <c r="J4380" t="str">
        <f>"502"</f>
        <v>502</v>
      </c>
      <c r="K4380" t="str">
        <f>"20360523"</f>
        <v>20360523</v>
      </c>
      <c r="L4380" t="s">
        <v>18</v>
      </c>
      <c r="M4380" t="str">
        <f>"20130426"</f>
        <v>20130426</v>
      </c>
    </row>
    <row r="4381" spans="1:13" x14ac:dyDescent="0.25">
      <c r="A4381" t="str">
        <f>"00275135"</f>
        <v>00275135</v>
      </c>
      <c r="B4381" t="s">
        <v>634</v>
      </c>
      <c r="C4381" t="s">
        <v>74</v>
      </c>
      <c r="D4381" t="s">
        <v>15</v>
      </c>
      <c r="E4381" t="s">
        <v>26</v>
      </c>
      <c r="F4381" t="s">
        <v>17</v>
      </c>
      <c r="G4381" t="str">
        <f>"33"</f>
        <v>33</v>
      </c>
      <c r="H4381" t="str">
        <f>"3  "</f>
        <v xml:space="preserve">3  </v>
      </c>
      <c r="I4381" t="str">
        <f>"2018/11/07"</f>
        <v>2018/11/07</v>
      </c>
      <c r="J4381" t="str">
        <f>"502"</f>
        <v>502</v>
      </c>
      <c r="K4381" t="str">
        <f>"20260519"</f>
        <v>20260519</v>
      </c>
      <c r="L4381" t="s">
        <v>18</v>
      </c>
      <c r="M4381" t="str">
        <f>"20110711"</f>
        <v>20110711</v>
      </c>
    </row>
    <row r="4382" spans="1:13" x14ac:dyDescent="0.25">
      <c r="A4382" t="str">
        <f>"00460644"</f>
        <v>00460644</v>
      </c>
      <c r="B4382" t="s">
        <v>634</v>
      </c>
      <c r="C4382" t="s">
        <v>656</v>
      </c>
      <c r="D4382" t="s">
        <v>15</v>
      </c>
      <c r="E4382" t="s">
        <v>26</v>
      </c>
      <c r="F4382" t="s">
        <v>17</v>
      </c>
      <c r="G4382" t="str">
        <f>"33"</f>
        <v>33</v>
      </c>
      <c r="H4382" t="str">
        <f>"3  "</f>
        <v xml:space="preserve">3  </v>
      </c>
      <c r="I4382" t="str">
        <f>"2019/01/29"</f>
        <v>2019/01/29</v>
      </c>
      <c r="J4382" t="str">
        <f>"502"</f>
        <v>502</v>
      </c>
      <c r="K4382" t="str">
        <f>"20250518"</f>
        <v>20250518</v>
      </c>
      <c r="L4382" t="s">
        <v>18</v>
      </c>
      <c r="M4382" t="str">
        <f>"20160908"</f>
        <v>20160908</v>
      </c>
    </row>
    <row r="4383" spans="1:13" x14ac:dyDescent="0.25">
      <c r="A4383" t="str">
        <f>"00197385"</f>
        <v>00197385</v>
      </c>
      <c r="B4383" t="s">
        <v>634</v>
      </c>
      <c r="C4383" t="s">
        <v>663</v>
      </c>
      <c r="D4383" t="s">
        <v>15</v>
      </c>
      <c r="E4383" t="s">
        <v>26</v>
      </c>
      <c r="F4383" t="s">
        <v>17</v>
      </c>
      <c r="G4383" t="str">
        <f>"33"</f>
        <v>33</v>
      </c>
      <c r="H4383" t="str">
        <f>"3  "</f>
        <v xml:space="preserve">3  </v>
      </c>
      <c r="I4383" t="str">
        <f>"2019/01/09"</f>
        <v>2019/01/09</v>
      </c>
      <c r="J4383" t="str">
        <f>"502"</f>
        <v>502</v>
      </c>
      <c r="K4383" t="str">
        <f>"20590226"</f>
        <v>20590226</v>
      </c>
      <c r="L4383" t="s">
        <v>18</v>
      </c>
      <c r="M4383" t="str">
        <f>"20090322"</f>
        <v>20090322</v>
      </c>
    </row>
    <row r="4384" spans="1:13" x14ac:dyDescent="0.25">
      <c r="A4384" t="str">
        <f>"00437200"</f>
        <v>00437200</v>
      </c>
      <c r="B4384" t="s">
        <v>669</v>
      </c>
      <c r="C4384" t="s">
        <v>269</v>
      </c>
      <c r="D4384" t="s">
        <v>31</v>
      </c>
      <c r="E4384" t="s">
        <v>16</v>
      </c>
      <c r="F4384" t="s">
        <v>17</v>
      </c>
      <c r="G4384" t="str">
        <f>"33"</f>
        <v>33</v>
      </c>
      <c r="H4384" t="str">
        <f>"7  "</f>
        <v xml:space="preserve">7  </v>
      </c>
      <c r="I4384" t="str">
        <f>"2019/01/29"</f>
        <v>2019/01/29</v>
      </c>
      <c r="J4384" t="str">
        <f>"502"</f>
        <v>502</v>
      </c>
      <c r="K4384" t="s">
        <v>18</v>
      </c>
      <c r="L4384" t="s">
        <v>18</v>
      </c>
      <c r="M4384" t="str">
        <f>"20110717"</f>
        <v>20110717</v>
      </c>
    </row>
    <row r="4385" spans="1:13" x14ac:dyDescent="0.25">
      <c r="A4385" t="str">
        <f>"00608103"</f>
        <v>00608103</v>
      </c>
      <c r="B4385" t="s">
        <v>751</v>
      </c>
      <c r="C4385" t="s">
        <v>68</v>
      </c>
      <c r="D4385" t="s">
        <v>25</v>
      </c>
      <c r="E4385" t="s">
        <v>26</v>
      </c>
      <c r="F4385" t="s">
        <v>17</v>
      </c>
      <c r="G4385" t="str">
        <f>"33"</f>
        <v>33</v>
      </c>
      <c r="H4385" t="str">
        <f>"3  "</f>
        <v xml:space="preserve">3  </v>
      </c>
      <c r="I4385" t="str">
        <f>"2018/11/20"</f>
        <v>2018/11/20</v>
      </c>
      <c r="J4385" t="str">
        <f>"502"</f>
        <v>502</v>
      </c>
      <c r="K4385" t="str">
        <f>"20281223"</f>
        <v>20281223</v>
      </c>
      <c r="L4385" t="s">
        <v>18</v>
      </c>
      <c r="M4385" t="str">
        <f>"20110322"</f>
        <v>20110322</v>
      </c>
    </row>
    <row r="4386" spans="1:13" x14ac:dyDescent="0.25">
      <c r="A4386" t="str">
        <f>"00163374"</f>
        <v>00163374</v>
      </c>
      <c r="B4386" t="s">
        <v>769</v>
      </c>
      <c r="C4386" t="s">
        <v>308</v>
      </c>
      <c r="D4386" t="s">
        <v>25</v>
      </c>
      <c r="E4386" t="s">
        <v>16</v>
      </c>
      <c r="F4386" t="s">
        <v>17</v>
      </c>
      <c r="G4386" t="str">
        <f>"33"</f>
        <v>33</v>
      </c>
      <c r="H4386" t="str">
        <f>"7  "</f>
        <v xml:space="preserve">7  </v>
      </c>
      <c r="I4386" t="str">
        <f>"2019/01/29"</f>
        <v>2019/01/29</v>
      </c>
      <c r="J4386" t="str">
        <f>"502"</f>
        <v>502</v>
      </c>
      <c r="K4386" t="s">
        <v>18</v>
      </c>
      <c r="L4386" t="s">
        <v>18</v>
      </c>
      <c r="M4386" t="str">
        <f>"20070802"</f>
        <v>20070802</v>
      </c>
    </row>
    <row r="4387" spans="1:13" x14ac:dyDescent="0.25">
      <c r="A4387" t="str">
        <f>"00174042"</f>
        <v>00174042</v>
      </c>
      <c r="B4387" t="s">
        <v>801</v>
      </c>
      <c r="C4387" t="s">
        <v>802</v>
      </c>
      <c r="D4387" t="s">
        <v>25</v>
      </c>
      <c r="E4387" t="s">
        <v>16</v>
      </c>
      <c r="F4387" t="s">
        <v>17</v>
      </c>
      <c r="G4387" t="str">
        <f>"33"</f>
        <v>33</v>
      </c>
      <c r="H4387" t="str">
        <f>"3  "</f>
        <v xml:space="preserve">3  </v>
      </c>
      <c r="I4387" t="str">
        <f>"2017/11/03"</f>
        <v>2017/11/03</v>
      </c>
      <c r="J4387" t="str">
        <f>"502"</f>
        <v>502</v>
      </c>
      <c r="K4387" t="str">
        <f>"20290618"</f>
        <v>20290618</v>
      </c>
      <c r="L4387" t="s">
        <v>18</v>
      </c>
      <c r="M4387" t="str">
        <f>"20140531"</f>
        <v>20140531</v>
      </c>
    </row>
    <row r="4388" spans="1:13" x14ac:dyDescent="0.25">
      <c r="A4388" t="str">
        <f>"00487711"</f>
        <v>00487711</v>
      </c>
      <c r="B4388" t="s">
        <v>805</v>
      </c>
      <c r="C4388" t="s">
        <v>125</v>
      </c>
      <c r="D4388" t="s">
        <v>45</v>
      </c>
      <c r="E4388" t="s">
        <v>26</v>
      </c>
      <c r="F4388" t="s">
        <v>17</v>
      </c>
      <c r="G4388" t="str">
        <f>"33"</f>
        <v>33</v>
      </c>
      <c r="H4388" t="str">
        <f>"3  "</f>
        <v xml:space="preserve">3  </v>
      </c>
      <c r="I4388" t="str">
        <f>"2018/01/19"</f>
        <v>2018/01/19</v>
      </c>
      <c r="J4388" t="str">
        <f>"502"</f>
        <v>502</v>
      </c>
      <c r="K4388" t="str">
        <f>"20380307"</f>
        <v>20380307</v>
      </c>
      <c r="L4388" t="s">
        <v>18</v>
      </c>
      <c r="M4388" t="str">
        <f>"20131213"</f>
        <v>20131213</v>
      </c>
    </row>
    <row r="4389" spans="1:13" x14ac:dyDescent="0.25">
      <c r="A4389" t="str">
        <f>"00289063"</f>
        <v>00289063</v>
      </c>
      <c r="B4389" t="s">
        <v>806</v>
      </c>
      <c r="C4389" t="s">
        <v>74</v>
      </c>
      <c r="D4389" t="s">
        <v>15</v>
      </c>
      <c r="E4389" t="s">
        <v>16</v>
      </c>
      <c r="F4389" t="s">
        <v>17</v>
      </c>
      <c r="G4389" t="str">
        <f>"33"</f>
        <v>33</v>
      </c>
      <c r="H4389" t="str">
        <f>"3  "</f>
        <v xml:space="preserve">3  </v>
      </c>
      <c r="I4389" t="str">
        <f>"2020/01/29"</f>
        <v>2020/01/29</v>
      </c>
      <c r="J4389" t="str">
        <f>"510"</f>
        <v>510</v>
      </c>
      <c r="K4389" t="str">
        <f>"20360730"</f>
        <v>20360730</v>
      </c>
      <c r="L4389" t="s">
        <v>18</v>
      </c>
      <c r="M4389" t="str">
        <f>"20151118"</f>
        <v>20151118</v>
      </c>
    </row>
    <row r="4390" spans="1:13" x14ac:dyDescent="0.25">
      <c r="A4390" t="str">
        <f>"00292401"</f>
        <v>00292401</v>
      </c>
      <c r="B4390" t="s">
        <v>814</v>
      </c>
      <c r="C4390" t="s">
        <v>449</v>
      </c>
      <c r="D4390" t="s">
        <v>15</v>
      </c>
      <c r="E4390" t="s">
        <v>26</v>
      </c>
      <c r="F4390" t="s">
        <v>17</v>
      </c>
      <c r="G4390" t="str">
        <f>"33"</f>
        <v>33</v>
      </c>
      <c r="H4390" t="str">
        <f>"3  "</f>
        <v xml:space="preserve">3  </v>
      </c>
      <c r="I4390" t="str">
        <f>"2018/11/14"</f>
        <v>2018/11/14</v>
      </c>
      <c r="J4390" t="str">
        <f>"502"</f>
        <v>502</v>
      </c>
      <c r="K4390" t="str">
        <f>"20330206"</f>
        <v>20330206</v>
      </c>
      <c r="L4390" t="s">
        <v>18</v>
      </c>
      <c r="M4390" t="str">
        <f>"20060510"</f>
        <v>20060510</v>
      </c>
    </row>
    <row r="4391" spans="1:13" x14ac:dyDescent="0.25">
      <c r="A4391" t="str">
        <f>"00456656"</f>
        <v>00456656</v>
      </c>
      <c r="B4391" t="s">
        <v>826</v>
      </c>
      <c r="C4391" t="s">
        <v>827</v>
      </c>
      <c r="D4391" t="s">
        <v>15</v>
      </c>
      <c r="E4391" t="s">
        <v>26</v>
      </c>
      <c r="F4391" t="s">
        <v>17</v>
      </c>
      <c r="G4391" t="str">
        <f>"33"</f>
        <v>33</v>
      </c>
      <c r="H4391" t="str">
        <f>"3  "</f>
        <v xml:space="preserve">3  </v>
      </c>
      <c r="I4391" t="str">
        <f>"2018/11/26"</f>
        <v>2018/11/26</v>
      </c>
      <c r="J4391" t="str">
        <f>"502"</f>
        <v>502</v>
      </c>
      <c r="K4391" t="str">
        <f>"20400302"</f>
        <v>20400302</v>
      </c>
      <c r="L4391" t="s">
        <v>18</v>
      </c>
      <c r="M4391" t="str">
        <f>"20130627"</f>
        <v>20130627</v>
      </c>
    </row>
    <row r="4392" spans="1:13" x14ac:dyDescent="0.25">
      <c r="A4392" t="str">
        <f>"00516101"</f>
        <v>00516101</v>
      </c>
      <c r="B4392" t="s">
        <v>826</v>
      </c>
      <c r="C4392" t="s">
        <v>828</v>
      </c>
      <c r="D4392" t="s">
        <v>25</v>
      </c>
      <c r="E4392" t="s">
        <v>26</v>
      </c>
      <c r="F4392" t="s">
        <v>17</v>
      </c>
      <c r="G4392" t="str">
        <f>"33"</f>
        <v>33</v>
      </c>
      <c r="H4392" t="str">
        <f>"3  "</f>
        <v xml:space="preserve">3  </v>
      </c>
      <c r="I4392" t="str">
        <f>"2018/11/20"</f>
        <v>2018/11/20</v>
      </c>
      <c r="J4392" t="str">
        <f>"502"</f>
        <v>502</v>
      </c>
      <c r="K4392" t="str">
        <f>"20240419"</f>
        <v>20240419</v>
      </c>
      <c r="L4392" t="s">
        <v>18</v>
      </c>
      <c r="M4392" t="str">
        <f>"20160524"</f>
        <v>20160524</v>
      </c>
    </row>
    <row r="4393" spans="1:13" x14ac:dyDescent="0.25">
      <c r="A4393" t="str">
        <f>"00689454"</f>
        <v>00689454</v>
      </c>
      <c r="B4393" t="s">
        <v>826</v>
      </c>
      <c r="C4393" t="s">
        <v>832</v>
      </c>
      <c r="D4393" t="s">
        <v>25</v>
      </c>
      <c r="E4393" t="s">
        <v>26</v>
      </c>
      <c r="F4393" t="s">
        <v>17</v>
      </c>
      <c r="G4393" t="str">
        <f>"33"</f>
        <v>33</v>
      </c>
      <c r="H4393" t="str">
        <f>"3  "</f>
        <v xml:space="preserve">3  </v>
      </c>
      <c r="I4393" t="str">
        <f>"2018/11/07"</f>
        <v>2018/11/07</v>
      </c>
      <c r="J4393" t="str">
        <f>"502"</f>
        <v>502</v>
      </c>
      <c r="K4393" t="str">
        <f>"20250327"</f>
        <v>20250327</v>
      </c>
      <c r="L4393" t="s">
        <v>18</v>
      </c>
      <c r="M4393" t="str">
        <f>"20160322"</f>
        <v>20160322</v>
      </c>
    </row>
    <row r="4394" spans="1:13" x14ac:dyDescent="0.25">
      <c r="A4394" t="str">
        <f>"00565712"</f>
        <v>00565712</v>
      </c>
      <c r="B4394" t="s">
        <v>856</v>
      </c>
      <c r="C4394" t="s">
        <v>398</v>
      </c>
      <c r="D4394" t="s">
        <v>45</v>
      </c>
      <c r="E4394" t="s">
        <v>16</v>
      </c>
      <c r="F4394" t="s">
        <v>17</v>
      </c>
      <c r="G4394" t="str">
        <f>"33"</f>
        <v>33</v>
      </c>
      <c r="H4394" t="str">
        <f>"3  "</f>
        <v xml:space="preserve">3  </v>
      </c>
      <c r="I4394" t="str">
        <f>"2018/11/07"</f>
        <v>2018/11/07</v>
      </c>
      <c r="J4394" t="str">
        <f>"502"</f>
        <v>502</v>
      </c>
      <c r="K4394" t="str">
        <f>"20390714"</f>
        <v>20390714</v>
      </c>
      <c r="L4394" t="s">
        <v>18</v>
      </c>
      <c r="M4394" t="str">
        <f>"20121020"</f>
        <v>20121020</v>
      </c>
    </row>
    <row r="4395" spans="1:13" x14ac:dyDescent="0.25">
      <c r="A4395" t="str">
        <f>"00516356"</f>
        <v>00516356</v>
      </c>
      <c r="B4395" t="s">
        <v>898</v>
      </c>
      <c r="C4395" t="s">
        <v>398</v>
      </c>
      <c r="D4395" t="s">
        <v>15</v>
      </c>
      <c r="E4395" t="s">
        <v>26</v>
      </c>
      <c r="F4395" t="s">
        <v>17</v>
      </c>
      <c r="G4395" t="str">
        <f>"33"</f>
        <v>33</v>
      </c>
      <c r="H4395" t="str">
        <f>"3  "</f>
        <v xml:space="preserve">3  </v>
      </c>
      <c r="I4395" t="str">
        <f>"2018/12/04"</f>
        <v>2018/12/04</v>
      </c>
      <c r="J4395" t="str">
        <f>"502"</f>
        <v>502</v>
      </c>
      <c r="K4395" t="str">
        <f>"20280522"</f>
        <v>20280522</v>
      </c>
      <c r="L4395" t="s">
        <v>18</v>
      </c>
      <c r="M4395" t="str">
        <f>"20151021"</f>
        <v>20151021</v>
      </c>
    </row>
    <row r="4396" spans="1:13" x14ac:dyDescent="0.25">
      <c r="A4396" t="str">
        <f>"00461496"</f>
        <v>00461496</v>
      </c>
      <c r="B4396" t="s">
        <v>898</v>
      </c>
      <c r="C4396" t="s">
        <v>899</v>
      </c>
      <c r="D4396" t="s">
        <v>51</v>
      </c>
      <c r="E4396" t="s">
        <v>26</v>
      </c>
      <c r="F4396" t="s">
        <v>17</v>
      </c>
      <c r="G4396" t="str">
        <f>"33"</f>
        <v>33</v>
      </c>
      <c r="H4396" t="str">
        <f>"3  "</f>
        <v xml:space="preserve">3  </v>
      </c>
      <c r="I4396" t="str">
        <f>"2018/12/04"</f>
        <v>2018/12/04</v>
      </c>
      <c r="J4396" t="str">
        <f>"502"</f>
        <v>502</v>
      </c>
      <c r="K4396" t="str">
        <f>"20301202"</f>
        <v>20301202</v>
      </c>
      <c r="L4396" t="s">
        <v>18</v>
      </c>
      <c r="M4396" t="str">
        <f>"20081103"</f>
        <v>20081103</v>
      </c>
    </row>
    <row r="4397" spans="1:13" x14ac:dyDescent="0.25">
      <c r="A4397" t="str">
        <f>"00519158"</f>
        <v>00519158</v>
      </c>
      <c r="B4397" t="s">
        <v>935</v>
      </c>
      <c r="C4397" t="s">
        <v>942</v>
      </c>
      <c r="D4397" t="s">
        <v>456</v>
      </c>
      <c r="E4397" t="s">
        <v>26</v>
      </c>
      <c r="F4397" t="s">
        <v>17</v>
      </c>
      <c r="G4397" t="str">
        <f>"33"</f>
        <v>33</v>
      </c>
      <c r="H4397" t="str">
        <f>"3  "</f>
        <v xml:space="preserve">3  </v>
      </c>
      <c r="I4397" t="str">
        <f>"2019/02/06"</f>
        <v>2019/02/06</v>
      </c>
      <c r="J4397" t="str">
        <f>"502"</f>
        <v>502</v>
      </c>
      <c r="K4397" t="str">
        <f>"20330220"</f>
        <v>20330220</v>
      </c>
      <c r="L4397" t="s">
        <v>18</v>
      </c>
      <c r="M4397" t="str">
        <f>"20171209"</f>
        <v>20171209</v>
      </c>
    </row>
    <row r="4398" spans="1:13" x14ac:dyDescent="0.25">
      <c r="A4398" t="str">
        <f>"00330328"</f>
        <v>00330328</v>
      </c>
      <c r="B4398" t="s">
        <v>962</v>
      </c>
      <c r="C4398" t="s">
        <v>96</v>
      </c>
      <c r="D4398" t="s">
        <v>47</v>
      </c>
      <c r="E4398" t="s">
        <v>16</v>
      </c>
      <c r="F4398" t="s">
        <v>17</v>
      </c>
      <c r="G4398" t="str">
        <f>"33"</f>
        <v>33</v>
      </c>
      <c r="H4398" t="str">
        <f>"3  "</f>
        <v xml:space="preserve">3  </v>
      </c>
      <c r="I4398" t="str">
        <f>"1999/09/02"</f>
        <v>1999/09/02</v>
      </c>
      <c r="J4398" t="str">
        <f>"502"</f>
        <v>502</v>
      </c>
      <c r="K4398" t="str">
        <f>"20250218"</f>
        <v>20250218</v>
      </c>
      <c r="L4398" t="s">
        <v>18</v>
      </c>
      <c r="M4398" t="str">
        <f>"19950617"</f>
        <v>19950617</v>
      </c>
    </row>
    <row r="4399" spans="1:13" x14ac:dyDescent="0.25">
      <c r="A4399" t="str">
        <f>"00485850"</f>
        <v>00485850</v>
      </c>
      <c r="B4399" t="s">
        <v>986</v>
      </c>
      <c r="C4399" t="s">
        <v>938</v>
      </c>
      <c r="D4399" t="s">
        <v>40</v>
      </c>
      <c r="E4399" t="s">
        <v>26</v>
      </c>
      <c r="F4399" t="s">
        <v>17</v>
      </c>
      <c r="G4399" t="str">
        <f>"33"</f>
        <v>33</v>
      </c>
      <c r="H4399" t="str">
        <f>"3  "</f>
        <v xml:space="preserve">3  </v>
      </c>
      <c r="I4399" t="str">
        <f>"2019/01/09"</f>
        <v>2019/01/09</v>
      </c>
      <c r="J4399" t="str">
        <f>"502"</f>
        <v>502</v>
      </c>
      <c r="K4399" t="str">
        <f>"20250415"</f>
        <v>20250415</v>
      </c>
      <c r="L4399" t="s">
        <v>18</v>
      </c>
      <c r="M4399" t="str">
        <f>"20080901"</f>
        <v>20080901</v>
      </c>
    </row>
    <row r="4400" spans="1:13" x14ac:dyDescent="0.25">
      <c r="A4400" t="str">
        <f>"00147497"</f>
        <v>00147497</v>
      </c>
      <c r="B4400" t="s">
        <v>994</v>
      </c>
      <c r="C4400" t="s">
        <v>555</v>
      </c>
      <c r="D4400" t="s">
        <v>25</v>
      </c>
      <c r="E4400" t="s">
        <v>26</v>
      </c>
      <c r="F4400" t="s">
        <v>17</v>
      </c>
      <c r="G4400" t="str">
        <f>"33"</f>
        <v>33</v>
      </c>
      <c r="H4400" t="str">
        <f>"3  "</f>
        <v xml:space="preserve">3  </v>
      </c>
      <c r="I4400" t="str">
        <f>"2018/12/18"</f>
        <v>2018/12/18</v>
      </c>
      <c r="J4400" t="str">
        <f>"502"</f>
        <v>502</v>
      </c>
      <c r="K4400" t="str">
        <f>"20270212"</f>
        <v>20270212</v>
      </c>
      <c r="L4400" t="s">
        <v>18</v>
      </c>
      <c r="M4400" t="str">
        <f>"20150728"</f>
        <v>20150728</v>
      </c>
    </row>
    <row r="4401" spans="1:13" x14ac:dyDescent="0.25">
      <c r="A4401" t="str">
        <f>"00546259"</f>
        <v>00546259</v>
      </c>
      <c r="B4401" t="s">
        <v>1002</v>
      </c>
      <c r="C4401" t="s">
        <v>1003</v>
      </c>
      <c r="D4401" t="s">
        <v>25</v>
      </c>
      <c r="E4401" t="s">
        <v>26</v>
      </c>
      <c r="F4401" t="s">
        <v>17</v>
      </c>
      <c r="G4401" t="str">
        <f>"33"</f>
        <v>33</v>
      </c>
      <c r="H4401" t="str">
        <f>"3  "</f>
        <v xml:space="preserve">3  </v>
      </c>
      <c r="I4401" t="str">
        <f>"2019/05/30"</f>
        <v>2019/05/30</v>
      </c>
      <c r="J4401" t="str">
        <f>"502"</f>
        <v>502</v>
      </c>
      <c r="K4401" t="str">
        <f>"20280616"</f>
        <v>20280616</v>
      </c>
      <c r="L4401" t="s">
        <v>18</v>
      </c>
      <c r="M4401" t="str">
        <f>"20090623"</f>
        <v>20090623</v>
      </c>
    </row>
    <row r="4402" spans="1:13" x14ac:dyDescent="0.25">
      <c r="A4402" t="str">
        <f>"00616286"</f>
        <v>00616286</v>
      </c>
      <c r="B4402" t="s">
        <v>1020</v>
      </c>
      <c r="C4402" t="s">
        <v>148</v>
      </c>
      <c r="D4402" t="s">
        <v>37</v>
      </c>
      <c r="E4402" t="s">
        <v>26</v>
      </c>
      <c r="F4402" t="s">
        <v>17</v>
      </c>
      <c r="G4402" t="str">
        <f>"33"</f>
        <v>33</v>
      </c>
      <c r="H4402" t="str">
        <f>"3  "</f>
        <v xml:space="preserve">3  </v>
      </c>
      <c r="I4402" t="str">
        <f>"2018/11/14"</f>
        <v>2018/11/14</v>
      </c>
      <c r="J4402" t="str">
        <f>"502"</f>
        <v>502</v>
      </c>
      <c r="K4402" t="str">
        <f>"20520910"</f>
        <v>20520910</v>
      </c>
      <c r="L4402" t="s">
        <v>18</v>
      </c>
      <c r="M4402" t="str">
        <f>"20080826"</f>
        <v>20080826</v>
      </c>
    </row>
    <row r="4403" spans="1:13" x14ac:dyDescent="0.25">
      <c r="A4403" t="str">
        <f>"00145950"</f>
        <v>00145950</v>
      </c>
      <c r="B4403" t="s">
        <v>1025</v>
      </c>
      <c r="C4403" t="s">
        <v>1026</v>
      </c>
      <c r="D4403" t="s">
        <v>15</v>
      </c>
      <c r="E4403" t="s">
        <v>26</v>
      </c>
      <c r="F4403" t="s">
        <v>17</v>
      </c>
      <c r="G4403" t="str">
        <f>"33"</f>
        <v>33</v>
      </c>
      <c r="H4403" t="str">
        <f>"3  "</f>
        <v xml:space="preserve">3  </v>
      </c>
      <c r="I4403" t="str">
        <f>"2019/01/09"</f>
        <v>2019/01/09</v>
      </c>
      <c r="J4403" t="str">
        <f>"502"</f>
        <v>502</v>
      </c>
      <c r="K4403" t="str">
        <f>"20250829"</f>
        <v>20250829</v>
      </c>
      <c r="L4403" t="s">
        <v>18</v>
      </c>
      <c r="M4403" t="str">
        <f>"20120304"</f>
        <v>20120304</v>
      </c>
    </row>
    <row r="4404" spans="1:13" x14ac:dyDescent="0.25">
      <c r="A4404" t="str">
        <f>"00790568"</f>
        <v>00790568</v>
      </c>
      <c r="B4404" t="s">
        <v>1063</v>
      </c>
      <c r="C4404" t="s">
        <v>1064</v>
      </c>
      <c r="D4404" t="s">
        <v>25</v>
      </c>
      <c r="E4404" t="s">
        <v>26</v>
      </c>
      <c r="F4404" t="s">
        <v>17</v>
      </c>
      <c r="G4404" t="str">
        <f>"33"</f>
        <v>33</v>
      </c>
      <c r="H4404" t="str">
        <f>"3  "</f>
        <v xml:space="preserve">3  </v>
      </c>
      <c r="I4404" t="str">
        <f>"2019/01/17"</f>
        <v>2019/01/17</v>
      </c>
      <c r="J4404" t="str">
        <f>"503"</f>
        <v>503</v>
      </c>
      <c r="K4404" t="str">
        <f>"20270101"</f>
        <v>20270101</v>
      </c>
      <c r="L4404" t="s">
        <v>18</v>
      </c>
      <c r="M4404" t="str">
        <f>"20160713"</f>
        <v>20160713</v>
      </c>
    </row>
    <row r="4405" spans="1:13" x14ac:dyDescent="0.25">
      <c r="A4405" t="str">
        <f>"00317993"</f>
        <v>00317993</v>
      </c>
      <c r="B4405" t="s">
        <v>1065</v>
      </c>
      <c r="C4405" t="s">
        <v>1066</v>
      </c>
      <c r="D4405" t="s">
        <v>37</v>
      </c>
      <c r="E4405" t="s">
        <v>26</v>
      </c>
      <c r="F4405" t="s">
        <v>17</v>
      </c>
      <c r="G4405" t="str">
        <f>"33"</f>
        <v>33</v>
      </c>
      <c r="H4405" t="str">
        <f>"3  "</f>
        <v xml:space="preserve">3  </v>
      </c>
      <c r="I4405" t="str">
        <f>"2018/11/07"</f>
        <v>2018/11/07</v>
      </c>
      <c r="J4405" t="str">
        <f>"502"</f>
        <v>502</v>
      </c>
      <c r="K4405" t="str">
        <f>"20280128"</f>
        <v>20280128</v>
      </c>
      <c r="L4405" t="s">
        <v>18</v>
      </c>
      <c r="M4405" t="str">
        <f>"20070112"</f>
        <v>20070112</v>
      </c>
    </row>
    <row r="4406" spans="1:13" x14ac:dyDescent="0.25">
      <c r="A4406" t="str">
        <f>"00366257"</f>
        <v>00366257</v>
      </c>
      <c r="B4406" t="s">
        <v>1095</v>
      </c>
      <c r="C4406" t="s">
        <v>327</v>
      </c>
      <c r="D4406" t="s">
        <v>51</v>
      </c>
      <c r="E4406" t="s">
        <v>26</v>
      </c>
      <c r="F4406" t="s">
        <v>17</v>
      </c>
      <c r="G4406" t="str">
        <f>"33"</f>
        <v>33</v>
      </c>
      <c r="H4406" t="str">
        <f>"3  "</f>
        <v xml:space="preserve">3  </v>
      </c>
      <c r="I4406" t="str">
        <f>"2018/12/04"</f>
        <v>2018/12/04</v>
      </c>
      <c r="J4406" t="str">
        <f>"502"</f>
        <v>502</v>
      </c>
      <c r="K4406" t="str">
        <f>"20280921"</f>
        <v>20280921</v>
      </c>
      <c r="L4406" t="s">
        <v>18</v>
      </c>
      <c r="M4406" t="str">
        <f>"20150629"</f>
        <v>20150629</v>
      </c>
    </row>
    <row r="4407" spans="1:13" x14ac:dyDescent="0.25">
      <c r="A4407" t="str">
        <f>"00590982"</f>
        <v>00590982</v>
      </c>
      <c r="B4407" t="s">
        <v>1095</v>
      </c>
      <c r="C4407" t="s">
        <v>74</v>
      </c>
      <c r="D4407" t="s">
        <v>25</v>
      </c>
      <c r="E4407" t="s">
        <v>26</v>
      </c>
      <c r="F4407" t="s">
        <v>17</v>
      </c>
      <c r="G4407" t="str">
        <f>"33"</f>
        <v>33</v>
      </c>
      <c r="H4407" t="str">
        <f>"3  "</f>
        <v xml:space="preserve">3  </v>
      </c>
      <c r="I4407" t="str">
        <f>"2019/02/06"</f>
        <v>2019/02/06</v>
      </c>
      <c r="J4407" t="str">
        <f>"502"</f>
        <v>502</v>
      </c>
      <c r="K4407" t="str">
        <f>"20250528"</f>
        <v>20250528</v>
      </c>
      <c r="L4407" t="s">
        <v>18</v>
      </c>
      <c r="M4407" t="str">
        <f>"20111028"</f>
        <v>20111028</v>
      </c>
    </row>
    <row r="4408" spans="1:13" x14ac:dyDescent="0.25">
      <c r="A4408" t="str">
        <f>"00267272"</f>
        <v>00267272</v>
      </c>
      <c r="B4408" t="s">
        <v>1105</v>
      </c>
      <c r="C4408" t="s">
        <v>72</v>
      </c>
      <c r="D4408" t="s">
        <v>80</v>
      </c>
      <c r="E4408" t="s">
        <v>26</v>
      </c>
      <c r="F4408" t="s">
        <v>17</v>
      </c>
      <c r="G4408" t="str">
        <f>"33"</f>
        <v>33</v>
      </c>
      <c r="H4408" t="str">
        <f>"3  "</f>
        <v xml:space="preserve">3  </v>
      </c>
      <c r="I4408" t="str">
        <f>"2018/12/12"</f>
        <v>2018/12/12</v>
      </c>
      <c r="J4408" t="str">
        <f>"502"</f>
        <v>502</v>
      </c>
      <c r="K4408" t="str">
        <f>"20321109"</f>
        <v>20321109</v>
      </c>
      <c r="L4408" t="s">
        <v>18</v>
      </c>
      <c r="M4408" t="str">
        <f>"20060123"</f>
        <v>20060123</v>
      </c>
    </row>
    <row r="4409" spans="1:13" x14ac:dyDescent="0.25">
      <c r="A4409" t="str">
        <f>"00144714"</f>
        <v>00144714</v>
      </c>
      <c r="B4409" t="s">
        <v>1106</v>
      </c>
      <c r="C4409" t="s">
        <v>1107</v>
      </c>
      <c r="D4409" t="s">
        <v>182</v>
      </c>
      <c r="E4409" t="s">
        <v>26</v>
      </c>
      <c r="F4409" t="s">
        <v>17</v>
      </c>
      <c r="G4409" t="str">
        <f>"33"</f>
        <v>33</v>
      </c>
      <c r="H4409" t="str">
        <f>"3  "</f>
        <v xml:space="preserve">3  </v>
      </c>
      <c r="I4409" t="str">
        <f>"2017/11/03"</f>
        <v>2017/11/03</v>
      </c>
      <c r="J4409" t="str">
        <f>"502"</f>
        <v>502</v>
      </c>
      <c r="K4409" t="str">
        <f>"20210508"</f>
        <v>20210508</v>
      </c>
      <c r="L4409" t="s">
        <v>18</v>
      </c>
      <c r="M4409" t="str">
        <f>"20130625"</f>
        <v>20130625</v>
      </c>
    </row>
    <row r="4410" spans="1:13" x14ac:dyDescent="0.25">
      <c r="A4410" t="str">
        <f>"00410155"</f>
        <v>00410155</v>
      </c>
      <c r="B4410" t="s">
        <v>1135</v>
      </c>
      <c r="C4410" t="s">
        <v>1136</v>
      </c>
      <c r="D4410" t="s">
        <v>15</v>
      </c>
      <c r="E4410" t="s">
        <v>16</v>
      </c>
      <c r="F4410" t="s">
        <v>17</v>
      </c>
      <c r="G4410" t="str">
        <f>"33"</f>
        <v>33</v>
      </c>
      <c r="H4410" t="str">
        <f>"3  "</f>
        <v xml:space="preserve">3  </v>
      </c>
      <c r="I4410" t="str">
        <f>"2019/12/12"</f>
        <v>2019/12/12</v>
      </c>
      <c r="J4410" t="str">
        <f>"502"</f>
        <v>502</v>
      </c>
      <c r="K4410" t="str">
        <f>"22780629"</f>
        <v>22780629</v>
      </c>
      <c r="L4410" t="s">
        <v>18</v>
      </c>
      <c r="M4410" t="str">
        <f>"20101207"</f>
        <v>20101207</v>
      </c>
    </row>
    <row r="4411" spans="1:13" x14ac:dyDescent="0.25">
      <c r="A4411" t="str">
        <f>"00344511"</f>
        <v>00344511</v>
      </c>
      <c r="B4411" t="s">
        <v>1151</v>
      </c>
      <c r="C4411" t="s">
        <v>136</v>
      </c>
      <c r="D4411" t="s">
        <v>40</v>
      </c>
      <c r="E4411" t="s">
        <v>26</v>
      </c>
      <c r="F4411" t="s">
        <v>17</v>
      </c>
      <c r="G4411" t="str">
        <f>"33"</f>
        <v>33</v>
      </c>
      <c r="H4411" t="str">
        <f>"3  "</f>
        <v xml:space="preserve">3  </v>
      </c>
      <c r="I4411" t="str">
        <f>"2018/12/04"</f>
        <v>2018/12/04</v>
      </c>
      <c r="J4411" t="str">
        <f>"502"</f>
        <v>502</v>
      </c>
      <c r="K4411" t="str">
        <f>"20581130"</f>
        <v>20581130</v>
      </c>
      <c r="L4411" t="s">
        <v>18</v>
      </c>
      <c r="M4411" t="str">
        <f>"20041223"</f>
        <v>20041223</v>
      </c>
    </row>
    <row r="4412" spans="1:13" x14ac:dyDescent="0.25">
      <c r="A4412" t="str">
        <f>"00196363"</f>
        <v>00196363</v>
      </c>
      <c r="B4412" t="s">
        <v>1193</v>
      </c>
      <c r="C4412" t="s">
        <v>595</v>
      </c>
      <c r="D4412" t="s">
        <v>51</v>
      </c>
      <c r="E4412" t="s">
        <v>26</v>
      </c>
      <c r="F4412" t="s">
        <v>17</v>
      </c>
      <c r="G4412" t="str">
        <f>"33"</f>
        <v>33</v>
      </c>
      <c r="H4412" t="str">
        <f>"7  "</f>
        <v xml:space="preserve">7  </v>
      </c>
      <c r="I4412" t="str">
        <f>"2019/02/13"</f>
        <v>2019/02/13</v>
      </c>
      <c r="J4412" t="str">
        <f>"502"</f>
        <v>502</v>
      </c>
      <c r="K4412" t="s">
        <v>18</v>
      </c>
      <c r="L4412" t="s">
        <v>18</v>
      </c>
      <c r="M4412" t="str">
        <f>"19941220"</f>
        <v>19941220</v>
      </c>
    </row>
    <row r="4413" spans="1:13" x14ac:dyDescent="0.25">
      <c r="A4413" t="str">
        <f>"00385030"</f>
        <v>00385030</v>
      </c>
      <c r="B4413" t="s">
        <v>1205</v>
      </c>
      <c r="C4413" t="s">
        <v>1209</v>
      </c>
      <c r="D4413" t="s">
        <v>37</v>
      </c>
      <c r="E4413" t="s">
        <v>26</v>
      </c>
      <c r="F4413" t="s">
        <v>17</v>
      </c>
      <c r="G4413" t="str">
        <f>"33"</f>
        <v>33</v>
      </c>
      <c r="H4413" t="str">
        <f>"3  "</f>
        <v xml:space="preserve">3  </v>
      </c>
      <c r="I4413" t="str">
        <f>"2019/01/17"</f>
        <v>2019/01/17</v>
      </c>
      <c r="J4413" t="str">
        <f>"503"</f>
        <v>503</v>
      </c>
      <c r="K4413" t="str">
        <f>"20260629"</f>
        <v>20260629</v>
      </c>
      <c r="L4413" t="s">
        <v>18</v>
      </c>
      <c r="M4413" t="str">
        <f>"20170818"</f>
        <v>20170818</v>
      </c>
    </row>
    <row r="4414" spans="1:13" x14ac:dyDescent="0.25">
      <c r="A4414" t="str">
        <f>"00256265"</f>
        <v>00256265</v>
      </c>
      <c r="B4414" t="s">
        <v>1220</v>
      </c>
      <c r="C4414" t="s">
        <v>72</v>
      </c>
      <c r="D4414" t="s">
        <v>51</v>
      </c>
      <c r="E4414" t="s">
        <v>26</v>
      </c>
      <c r="F4414" t="s">
        <v>17</v>
      </c>
      <c r="G4414" t="str">
        <f>"33"</f>
        <v>33</v>
      </c>
      <c r="H4414" t="str">
        <f>"3  "</f>
        <v xml:space="preserve">3  </v>
      </c>
      <c r="I4414" t="str">
        <f>"2019/01/02"</f>
        <v>2019/01/02</v>
      </c>
      <c r="J4414" t="str">
        <f>"502"</f>
        <v>502</v>
      </c>
      <c r="K4414" t="str">
        <f>"20501228"</f>
        <v>20501228</v>
      </c>
      <c r="L4414" t="s">
        <v>18</v>
      </c>
      <c r="M4414" t="str">
        <f>"20051106"</f>
        <v>20051106</v>
      </c>
    </row>
    <row r="4415" spans="1:13" x14ac:dyDescent="0.25">
      <c r="A4415" t="str">
        <f>"00244869"</f>
        <v>00244869</v>
      </c>
      <c r="B4415" t="s">
        <v>1225</v>
      </c>
      <c r="C4415" t="s">
        <v>213</v>
      </c>
      <c r="D4415" t="s">
        <v>37</v>
      </c>
      <c r="E4415" t="s">
        <v>26</v>
      </c>
      <c r="F4415" t="s">
        <v>17</v>
      </c>
      <c r="G4415" t="str">
        <f>"33"</f>
        <v>33</v>
      </c>
      <c r="H4415" t="str">
        <f>"3  "</f>
        <v xml:space="preserve">3  </v>
      </c>
      <c r="I4415" t="str">
        <f>"2018/12/14"</f>
        <v>2018/12/14</v>
      </c>
      <c r="J4415" t="str">
        <f>"510"</f>
        <v>510</v>
      </c>
      <c r="K4415" t="str">
        <f>"20440921"</f>
        <v>20440921</v>
      </c>
      <c r="L4415" t="s">
        <v>18</v>
      </c>
      <c r="M4415" t="str">
        <f>"20080620"</f>
        <v>20080620</v>
      </c>
    </row>
    <row r="4416" spans="1:13" x14ac:dyDescent="0.25">
      <c r="A4416" t="str">
        <f>"00476491"</f>
        <v>00476491</v>
      </c>
      <c r="B4416" t="s">
        <v>1231</v>
      </c>
      <c r="C4416" t="s">
        <v>1233</v>
      </c>
      <c r="D4416" t="s">
        <v>21</v>
      </c>
      <c r="E4416" t="s">
        <v>26</v>
      </c>
      <c r="F4416" t="s">
        <v>17</v>
      </c>
      <c r="G4416" t="str">
        <f>"33"</f>
        <v>33</v>
      </c>
      <c r="H4416" t="str">
        <f>"3  "</f>
        <v xml:space="preserve">3  </v>
      </c>
      <c r="I4416" t="str">
        <f>"2018/11/26"</f>
        <v>2018/11/26</v>
      </c>
      <c r="J4416" t="str">
        <f>"502"</f>
        <v>502</v>
      </c>
      <c r="K4416" t="str">
        <f>"20440519"</f>
        <v>20440519</v>
      </c>
      <c r="L4416" t="s">
        <v>18</v>
      </c>
      <c r="M4416" t="str">
        <f>"20141110"</f>
        <v>20141110</v>
      </c>
    </row>
    <row r="4417" spans="1:13" x14ac:dyDescent="0.25">
      <c r="A4417" t="str">
        <f>"00611291"</f>
        <v>00611291</v>
      </c>
      <c r="B4417" t="s">
        <v>1249</v>
      </c>
      <c r="C4417" t="s">
        <v>148</v>
      </c>
      <c r="D4417" t="s">
        <v>25</v>
      </c>
      <c r="E4417" t="s">
        <v>26</v>
      </c>
      <c r="F4417" t="s">
        <v>17</v>
      </c>
      <c r="G4417" t="str">
        <f>"33"</f>
        <v>33</v>
      </c>
      <c r="H4417" t="str">
        <f>"7  "</f>
        <v xml:space="preserve">7  </v>
      </c>
      <c r="I4417" t="str">
        <f>"2019/02/06"</f>
        <v>2019/02/06</v>
      </c>
      <c r="J4417" t="str">
        <f>"502"</f>
        <v>502</v>
      </c>
      <c r="K4417" t="s">
        <v>18</v>
      </c>
      <c r="L4417" t="s">
        <v>18</v>
      </c>
      <c r="M4417" t="str">
        <f>"20080130"</f>
        <v>20080130</v>
      </c>
    </row>
    <row r="4418" spans="1:13" x14ac:dyDescent="0.25">
      <c r="A4418" t="str">
        <f>"00575474"</f>
        <v>00575474</v>
      </c>
      <c r="B4418" t="s">
        <v>1251</v>
      </c>
      <c r="C4418" t="s">
        <v>1253</v>
      </c>
      <c r="D4418" t="s">
        <v>25</v>
      </c>
      <c r="E4418" t="s">
        <v>26</v>
      </c>
      <c r="F4418" t="s">
        <v>17</v>
      </c>
      <c r="G4418" t="str">
        <f>"33"</f>
        <v>33</v>
      </c>
      <c r="H4418" t="str">
        <f>"3  "</f>
        <v xml:space="preserve">3  </v>
      </c>
      <c r="I4418" t="str">
        <f>"2018/11/07"</f>
        <v>2018/11/07</v>
      </c>
      <c r="J4418" t="str">
        <f>"502"</f>
        <v>502</v>
      </c>
      <c r="K4418" t="str">
        <f>"20470115"</f>
        <v>20470115</v>
      </c>
      <c r="L4418" t="s">
        <v>18</v>
      </c>
      <c r="M4418" t="str">
        <f>"20150806"</f>
        <v>20150806</v>
      </c>
    </row>
    <row r="4419" spans="1:13" x14ac:dyDescent="0.25">
      <c r="A4419" t="str">
        <f>"00136360"</f>
        <v>00136360</v>
      </c>
      <c r="B4419" t="s">
        <v>1265</v>
      </c>
      <c r="C4419" t="s">
        <v>555</v>
      </c>
      <c r="D4419" t="s">
        <v>16</v>
      </c>
      <c r="E4419" t="s">
        <v>26</v>
      </c>
      <c r="F4419" t="s">
        <v>17</v>
      </c>
      <c r="G4419" t="str">
        <f>"33"</f>
        <v>33</v>
      </c>
      <c r="H4419" t="str">
        <f>"7  "</f>
        <v xml:space="preserve">7  </v>
      </c>
      <c r="I4419" t="str">
        <f>"1992/08/05"</f>
        <v>1992/08/05</v>
      </c>
      <c r="J4419" t="str">
        <f>"502"</f>
        <v>502</v>
      </c>
      <c r="K4419" t="s">
        <v>18</v>
      </c>
      <c r="L4419" t="str">
        <f>"19940227"</f>
        <v>19940227</v>
      </c>
      <c r="M4419" t="str">
        <f>"19860228"</f>
        <v>19860228</v>
      </c>
    </row>
    <row r="4420" spans="1:13" x14ac:dyDescent="0.25">
      <c r="A4420" t="str">
        <f>"00502392"</f>
        <v>00502392</v>
      </c>
      <c r="B4420" t="s">
        <v>1266</v>
      </c>
      <c r="C4420" t="s">
        <v>624</v>
      </c>
      <c r="D4420" t="s">
        <v>25</v>
      </c>
      <c r="E4420" t="s">
        <v>26</v>
      </c>
      <c r="F4420" t="s">
        <v>17</v>
      </c>
      <c r="G4420" t="str">
        <f>"33"</f>
        <v>33</v>
      </c>
      <c r="H4420" t="str">
        <f>"3  "</f>
        <v xml:space="preserve">3  </v>
      </c>
      <c r="I4420" t="str">
        <f>"2018/11/26"</f>
        <v>2018/11/26</v>
      </c>
      <c r="J4420" t="str">
        <f>"502"</f>
        <v>502</v>
      </c>
      <c r="K4420" t="str">
        <f>"20281119"</f>
        <v>20281119</v>
      </c>
      <c r="L4420" t="s">
        <v>18</v>
      </c>
      <c r="M4420" t="str">
        <f>"20120125"</f>
        <v>20120125</v>
      </c>
    </row>
    <row r="4421" spans="1:13" x14ac:dyDescent="0.25">
      <c r="A4421" t="str">
        <f>"00170046"</f>
        <v>00170046</v>
      </c>
      <c r="B4421" t="s">
        <v>1283</v>
      </c>
      <c r="C4421" t="s">
        <v>169</v>
      </c>
      <c r="D4421" t="s">
        <v>21</v>
      </c>
      <c r="E4421" t="s">
        <v>16</v>
      </c>
      <c r="F4421" t="s">
        <v>17</v>
      </c>
      <c r="G4421" t="str">
        <f>"33"</f>
        <v>33</v>
      </c>
      <c r="H4421" t="str">
        <f>"7  "</f>
        <v xml:space="preserve">7  </v>
      </c>
      <c r="I4421" t="str">
        <f>"2019/02/06"</f>
        <v>2019/02/06</v>
      </c>
      <c r="J4421" t="str">
        <f>"502"</f>
        <v>502</v>
      </c>
      <c r="K4421" t="s">
        <v>18</v>
      </c>
      <c r="L4421" t="s">
        <v>18</v>
      </c>
      <c r="M4421" t="str">
        <f>"19940831"</f>
        <v>19940831</v>
      </c>
    </row>
    <row r="4422" spans="1:13" x14ac:dyDescent="0.25">
      <c r="A4422" t="str">
        <f>"00365566"</f>
        <v>00365566</v>
      </c>
      <c r="B4422" t="s">
        <v>1297</v>
      </c>
      <c r="C4422" t="s">
        <v>897</v>
      </c>
      <c r="D4422" t="s">
        <v>21</v>
      </c>
      <c r="E4422" t="s">
        <v>26</v>
      </c>
      <c r="F4422" t="s">
        <v>17</v>
      </c>
      <c r="G4422" t="str">
        <f>"33"</f>
        <v>33</v>
      </c>
      <c r="H4422" t="str">
        <f>"3  "</f>
        <v xml:space="preserve">3  </v>
      </c>
      <c r="I4422" t="str">
        <f>"2018/11/29"</f>
        <v>2018/11/29</v>
      </c>
      <c r="J4422" t="str">
        <f>"502"</f>
        <v>502</v>
      </c>
      <c r="K4422" t="str">
        <f>"20270222"</f>
        <v>20270222</v>
      </c>
      <c r="L4422" t="s">
        <v>18</v>
      </c>
      <c r="M4422" t="str">
        <f>"20060626"</f>
        <v>20060626</v>
      </c>
    </row>
    <row r="4423" spans="1:13" x14ac:dyDescent="0.25">
      <c r="A4423" t="str">
        <f>"00654572"</f>
        <v>00654572</v>
      </c>
      <c r="B4423" t="s">
        <v>1354</v>
      </c>
      <c r="C4423" t="s">
        <v>348</v>
      </c>
      <c r="D4423" t="s">
        <v>80</v>
      </c>
      <c r="E4423" t="s">
        <v>16</v>
      </c>
      <c r="F4423" t="s">
        <v>17</v>
      </c>
      <c r="G4423" t="str">
        <f>"33"</f>
        <v>33</v>
      </c>
      <c r="H4423" t="str">
        <f>"3  "</f>
        <v xml:space="preserve">3  </v>
      </c>
      <c r="I4423" t="str">
        <f>"2019/01/02"</f>
        <v>2019/01/02</v>
      </c>
      <c r="J4423" t="str">
        <f>"502"</f>
        <v>502</v>
      </c>
      <c r="K4423" t="str">
        <f>"20410623"</f>
        <v>20410623</v>
      </c>
      <c r="L4423" t="s">
        <v>18</v>
      </c>
      <c r="M4423" t="str">
        <f>"20170117"</f>
        <v>20170117</v>
      </c>
    </row>
    <row r="4424" spans="1:13" x14ac:dyDescent="0.25">
      <c r="A4424" t="str">
        <f>"00831340"</f>
        <v>00831340</v>
      </c>
      <c r="B4424" t="s">
        <v>1354</v>
      </c>
      <c r="C4424" t="s">
        <v>1356</v>
      </c>
      <c r="D4424" t="s">
        <v>21</v>
      </c>
      <c r="E4424" t="s">
        <v>26</v>
      </c>
      <c r="F4424" t="s">
        <v>17</v>
      </c>
      <c r="G4424" t="str">
        <f>"33"</f>
        <v>33</v>
      </c>
      <c r="H4424" t="str">
        <f>"3  "</f>
        <v xml:space="preserve">3  </v>
      </c>
      <c r="I4424" t="str">
        <f>"2019/01/02"</f>
        <v>2019/01/02</v>
      </c>
      <c r="J4424" t="str">
        <f>"502"</f>
        <v>502</v>
      </c>
      <c r="K4424" t="str">
        <f>"20371115"</f>
        <v>20371115</v>
      </c>
      <c r="L4424" t="s">
        <v>18</v>
      </c>
      <c r="M4424" t="str">
        <f>"20170125"</f>
        <v>20170125</v>
      </c>
    </row>
    <row r="4425" spans="1:13" x14ac:dyDescent="0.25">
      <c r="A4425" t="str">
        <f>"00156562"</f>
        <v>00156562</v>
      </c>
      <c r="B4425" t="s">
        <v>1373</v>
      </c>
      <c r="C4425" t="s">
        <v>72</v>
      </c>
      <c r="D4425" t="s">
        <v>31</v>
      </c>
      <c r="E4425" t="s">
        <v>26</v>
      </c>
      <c r="F4425" t="s">
        <v>17</v>
      </c>
      <c r="G4425" t="str">
        <f>"33"</f>
        <v>33</v>
      </c>
      <c r="H4425" t="str">
        <f>"3  "</f>
        <v xml:space="preserve">3  </v>
      </c>
      <c r="I4425" t="str">
        <f>"2018/11/26"</f>
        <v>2018/11/26</v>
      </c>
      <c r="J4425" t="str">
        <f>"502"</f>
        <v>502</v>
      </c>
      <c r="K4425" t="str">
        <f>"20400916"</f>
        <v>20400916</v>
      </c>
      <c r="L4425" t="s">
        <v>18</v>
      </c>
      <c r="M4425" t="str">
        <f>"19940812"</f>
        <v>19940812</v>
      </c>
    </row>
    <row r="4426" spans="1:13" x14ac:dyDescent="0.25">
      <c r="A4426" t="str">
        <f>"00465428"</f>
        <v>00465428</v>
      </c>
      <c r="B4426" t="s">
        <v>1385</v>
      </c>
      <c r="C4426" t="s">
        <v>599</v>
      </c>
      <c r="D4426" t="s">
        <v>15</v>
      </c>
      <c r="E4426" t="s">
        <v>26</v>
      </c>
      <c r="F4426" t="s">
        <v>17</v>
      </c>
      <c r="G4426" t="str">
        <f>"33"</f>
        <v>33</v>
      </c>
      <c r="H4426" t="str">
        <f>"3  "</f>
        <v xml:space="preserve">3  </v>
      </c>
      <c r="I4426" t="str">
        <f>"2019/01/02"</f>
        <v>2019/01/02</v>
      </c>
      <c r="J4426" t="str">
        <f>"502"</f>
        <v>502</v>
      </c>
      <c r="K4426" t="str">
        <f>"20340219"</f>
        <v>20340219</v>
      </c>
      <c r="L4426" t="s">
        <v>18</v>
      </c>
      <c r="M4426" t="str">
        <f>"20120630"</f>
        <v>20120630</v>
      </c>
    </row>
    <row r="4427" spans="1:13" x14ac:dyDescent="0.25">
      <c r="A4427" t="str">
        <f>"00511146"</f>
        <v>00511146</v>
      </c>
      <c r="B4427" t="s">
        <v>1385</v>
      </c>
      <c r="C4427" t="s">
        <v>72</v>
      </c>
      <c r="D4427" t="s">
        <v>15</v>
      </c>
      <c r="E4427" t="s">
        <v>26</v>
      </c>
      <c r="F4427" t="s">
        <v>17</v>
      </c>
      <c r="G4427" t="str">
        <f>"33"</f>
        <v>33</v>
      </c>
      <c r="H4427" t="str">
        <f>"3  "</f>
        <v xml:space="preserve">3  </v>
      </c>
      <c r="I4427" t="str">
        <f>"2019/01/09"</f>
        <v>2019/01/09</v>
      </c>
      <c r="J4427" t="str">
        <f>"502"</f>
        <v>502</v>
      </c>
      <c r="K4427" t="str">
        <f>"20290111"</f>
        <v>20290111</v>
      </c>
      <c r="L4427" t="s">
        <v>18</v>
      </c>
      <c r="M4427" t="str">
        <f>"20120608"</f>
        <v>20120608</v>
      </c>
    </row>
    <row r="4428" spans="1:13" x14ac:dyDescent="0.25">
      <c r="A4428" t="str">
        <f>"00274922"</f>
        <v>00274922</v>
      </c>
      <c r="B4428" t="s">
        <v>1437</v>
      </c>
      <c r="C4428" t="s">
        <v>22</v>
      </c>
      <c r="D4428" t="s">
        <v>31</v>
      </c>
      <c r="E4428" t="s">
        <v>16</v>
      </c>
      <c r="F4428" t="s">
        <v>17</v>
      </c>
      <c r="G4428" t="str">
        <f>"33"</f>
        <v>33</v>
      </c>
      <c r="H4428" t="str">
        <f>"3  "</f>
        <v xml:space="preserve">3  </v>
      </c>
      <c r="I4428" t="str">
        <f>"2018/11/14"</f>
        <v>2018/11/14</v>
      </c>
      <c r="J4428" t="str">
        <f>"502"</f>
        <v>502</v>
      </c>
      <c r="K4428" t="str">
        <f>"20300517"</f>
        <v>20300517</v>
      </c>
      <c r="L4428" t="s">
        <v>18</v>
      </c>
      <c r="M4428" t="str">
        <f>"20170114"</f>
        <v>20170114</v>
      </c>
    </row>
    <row r="4429" spans="1:13" x14ac:dyDescent="0.25">
      <c r="A4429" t="str">
        <f>"00664622"</f>
        <v>00664622</v>
      </c>
      <c r="B4429" t="s">
        <v>1452</v>
      </c>
      <c r="C4429" t="s">
        <v>74</v>
      </c>
      <c r="D4429" t="s">
        <v>16</v>
      </c>
      <c r="E4429" t="s">
        <v>16</v>
      </c>
      <c r="F4429" t="s">
        <v>17</v>
      </c>
      <c r="G4429" t="str">
        <f>"33"</f>
        <v>33</v>
      </c>
      <c r="H4429" t="str">
        <f>"3  "</f>
        <v xml:space="preserve">3  </v>
      </c>
      <c r="I4429" t="str">
        <f>"2019/01/29"</f>
        <v>2019/01/29</v>
      </c>
      <c r="J4429" t="str">
        <f>"502"</f>
        <v>502</v>
      </c>
      <c r="K4429" t="str">
        <f>"20350121"</f>
        <v>20350121</v>
      </c>
      <c r="L4429" t="s">
        <v>18</v>
      </c>
      <c r="M4429" t="str">
        <f>"20150527"</f>
        <v>20150527</v>
      </c>
    </row>
    <row r="4430" spans="1:13" x14ac:dyDescent="0.25">
      <c r="A4430" t="str">
        <f>"00327415"</f>
        <v>00327415</v>
      </c>
      <c r="B4430" t="s">
        <v>1457</v>
      </c>
      <c r="C4430" t="s">
        <v>437</v>
      </c>
      <c r="D4430" t="s">
        <v>31</v>
      </c>
      <c r="E4430" t="s">
        <v>26</v>
      </c>
      <c r="F4430" t="s">
        <v>17</v>
      </c>
      <c r="G4430" t="str">
        <f>"33"</f>
        <v>33</v>
      </c>
      <c r="H4430" t="str">
        <f>"3  "</f>
        <v xml:space="preserve">3  </v>
      </c>
      <c r="I4430" t="str">
        <f>"2018/11/26"</f>
        <v>2018/11/26</v>
      </c>
      <c r="J4430" t="str">
        <f>"502"</f>
        <v>502</v>
      </c>
      <c r="K4430" t="str">
        <f>"20280128"</f>
        <v>20280128</v>
      </c>
      <c r="L4430" t="s">
        <v>18</v>
      </c>
      <c r="M4430" t="str">
        <f>"20020630"</f>
        <v>20020630</v>
      </c>
    </row>
    <row r="4431" spans="1:13" x14ac:dyDescent="0.25">
      <c r="A4431" t="str">
        <f>"00234392"</f>
        <v>00234392</v>
      </c>
      <c r="B4431" t="s">
        <v>1462</v>
      </c>
      <c r="C4431" t="s">
        <v>432</v>
      </c>
      <c r="D4431" t="s">
        <v>25</v>
      </c>
      <c r="E4431" t="s">
        <v>26</v>
      </c>
      <c r="F4431" t="s">
        <v>17</v>
      </c>
      <c r="G4431" t="str">
        <f>"33"</f>
        <v>33</v>
      </c>
      <c r="H4431" t="str">
        <f>"7  "</f>
        <v xml:space="preserve">7  </v>
      </c>
      <c r="I4431" t="str">
        <f>"2019/01/29"</f>
        <v>2019/01/29</v>
      </c>
      <c r="J4431" t="str">
        <f>"502"</f>
        <v>502</v>
      </c>
      <c r="K4431" t="s">
        <v>18</v>
      </c>
      <c r="L4431" t="s">
        <v>18</v>
      </c>
      <c r="M4431" t="str">
        <f>"19970718"</f>
        <v>19970718</v>
      </c>
    </row>
    <row r="4432" spans="1:13" x14ac:dyDescent="0.25">
      <c r="A4432" t="str">
        <f>"00269799"</f>
        <v>00269799</v>
      </c>
      <c r="B4432" t="s">
        <v>1489</v>
      </c>
      <c r="C4432" t="s">
        <v>122</v>
      </c>
      <c r="D4432" t="s">
        <v>80</v>
      </c>
      <c r="E4432" t="s">
        <v>16</v>
      </c>
      <c r="F4432" t="s">
        <v>17</v>
      </c>
      <c r="G4432" t="str">
        <f>"33"</f>
        <v>33</v>
      </c>
      <c r="H4432" t="str">
        <f>"7  "</f>
        <v xml:space="preserve">7  </v>
      </c>
      <c r="I4432" t="str">
        <f>"2017/06/22"</f>
        <v>2017/06/22</v>
      </c>
      <c r="J4432" t="str">
        <f>"502"</f>
        <v>502</v>
      </c>
      <c r="K4432" t="s">
        <v>18</v>
      </c>
      <c r="L4432" t="s">
        <v>18</v>
      </c>
      <c r="M4432" t="str">
        <f>"19950405"</f>
        <v>19950405</v>
      </c>
    </row>
    <row r="4433" spans="1:13" x14ac:dyDescent="0.25">
      <c r="A4433" t="str">
        <f>"00485314"</f>
        <v>00485314</v>
      </c>
      <c r="B4433" t="s">
        <v>1502</v>
      </c>
      <c r="C4433" t="s">
        <v>1503</v>
      </c>
      <c r="D4433" t="s">
        <v>51</v>
      </c>
      <c r="E4433" t="s">
        <v>26</v>
      </c>
      <c r="F4433" t="s">
        <v>17</v>
      </c>
      <c r="G4433" t="str">
        <f>"33"</f>
        <v>33</v>
      </c>
      <c r="H4433" t="str">
        <f>"3  "</f>
        <v xml:space="preserve">3  </v>
      </c>
      <c r="I4433" t="str">
        <f>"2019/02/14"</f>
        <v>2019/02/14</v>
      </c>
      <c r="J4433" t="str">
        <f>"502"</f>
        <v>502</v>
      </c>
      <c r="K4433" t="str">
        <f>"20230211"</f>
        <v>20230211</v>
      </c>
      <c r="L4433" t="s">
        <v>18</v>
      </c>
      <c r="M4433" t="str">
        <f>"20130307"</f>
        <v>20130307</v>
      </c>
    </row>
    <row r="4434" spans="1:13" x14ac:dyDescent="0.25">
      <c r="A4434" t="str">
        <f>"00319056"</f>
        <v>00319056</v>
      </c>
      <c r="B4434" t="s">
        <v>1566</v>
      </c>
      <c r="C4434" t="s">
        <v>327</v>
      </c>
      <c r="D4434" t="s">
        <v>215</v>
      </c>
      <c r="E4434" t="s">
        <v>26</v>
      </c>
      <c r="F4434" t="s">
        <v>17</v>
      </c>
      <c r="G4434" t="str">
        <f>"33"</f>
        <v>33</v>
      </c>
      <c r="H4434" t="str">
        <f>"3  "</f>
        <v xml:space="preserve">3  </v>
      </c>
      <c r="I4434" t="str">
        <f>"2019/02/14"</f>
        <v>2019/02/14</v>
      </c>
      <c r="J4434" t="str">
        <f>"502"</f>
        <v>502</v>
      </c>
      <c r="K4434" t="str">
        <f>"20270907"</f>
        <v>20270907</v>
      </c>
      <c r="L4434" t="s">
        <v>18</v>
      </c>
      <c r="M4434" t="str">
        <f>"20010519"</f>
        <v>20010519</v>
      </c>
    </row>
    <row r="4435" spans="1:13" x14ac:dyDescent="0.25">
      <c r="A4435" t="str">
        <f>"00587239"</f>
        <v>00587239</v>
      </c>
      <c r="B4435" t="s">
        <v>1583</v>
      </c>
      <c r="C4435" t="s">
        <v>1028</v>
      </c>
      <c r="D4435" t="s">
        <v>53</v>
      </c>
      <c r="E4435" t="s">
        <v>26</v>
      </c>
      <c r="F4435" t="s">
        <v>17</v>
      </c>
      <c r="G4435" t="str">
        <f>"33"</f>
        <v>33</v>
      </c>
      <c r="H4435" t="str">
        <f>"3  "</f>
        <v xml:space="preserve">3  </v>
      </c>
      <c r="I4435" t="str">
        <f>"2018/11/07"</f>
        <v>2018/11/07</v>
      </c>
      <c r="J4435" t="str">
        <f>"502"</f>
        <v>502</v>
      </c>
      <c r="K4435" t="str">
        <f>"20320319"</f>
        <v>20320319</v>
      </c>
      <c r="L4435" t="s">
        <v>18</v>
      </c>
      <c r="M4435" t="str">
        <f>"20150126"</f>
        <v>20150126</v>
      </c>
    </row>
    <row r="4436" spans="1:13" x14ac:dyDescent="0.25">
      <c r="A4436" t="str">
        <f>"00188752"</f>
        <v>00188752</v>
      </c>
      <c r="B4436" t="s">
        <v>1601</v>
      </c>
      <c r="C4436" t="s">
        <v>55</v>
      </c>
      <c r="D4436" t="s">
        <v>15</v>
      </c>
      <c r="E4436" t="s">
        <v>26</v>
      </c>
      <c r="F4436" t="s">
        <v>17</v>
      </c>
      <c r="G4436" t="str">
        <f>"33"</f>
        <v>33</v>
      </c>
      <c r="H4436" t="str">
        <f>"7  "</f>
        <v xml:space="preserve">7  </v>
      </c>
      <c r="I4436" t="str">
        <f>"2019/01/29"</f>
        <v>2019/01/29</v>
      </c>
      <c r="J4436" t="str">
        <f>"502"</f>
        <v>502</v>
      </c>
      <c r="K4436" t="s">
        <v>18</v>
      </c>
      <c r="L4436" t="s">
        <v>18</v>
      </c>
      <c r="M4436" t="str">
        <f>"19900510"</f>
        <v>19900510</v>
      </c>
    </row>
    <row r="4437" spans="1:13" x14ac:dyDescent="0.25">
      <c r="A4437" t="str">
        <f>"00476348"</f>
        <v>00476348</v>
      </c>
      <c r="B4437" t="s">
        <v>1607</v>
      </c>
      <c r="C4437" t="s">
        <v>1609</v>
      </c>
      <c r="D4437" t="s">
        <v>25</v>
      </c>
      <c r="E4437" t="s">
        <v>26</v>
      </c>
      <c r="F4437" t="s">
        <v>17</v>
      </c>
      <c r="G4437" t="str">
        <f>"33"</f>
        <v>33</v>
      </c>
      <c r="H4437" t="str">
        <f>"3  "</f>
        <v xml:space="preserve">3  </v>
      </c>
      <c r="I4437" t="str">
        <f>"2018/12/18"</f>
        <v>2018/12/18</v>
      </c>
      <c r="J4437" t="str">
        <f>"502"</f>
        <v>502</v>
      </c>
      <c r="K4437" t="str">
        <f>"20330614"</f>
        <v>20330614</v>
      </c>
      <c r="L4437" t="s">
        <v>18</v>
      </c>
      <c r="M4437" t="str">
        <f>"20060928"</f>
        <v>20060928</v>
      </c>
    </row>
    <row r="4438" spans="1:13" x14ac:dyDescent="0.25">
      <c r="A4438" t="str">
        <f>"00502563"</f>
        <v>00502563</v>
      </c>
      <c r="B4438" t="s">
        <v>1607</v>
      </c>
      <c r="C4438" t="s">
        <v>685</v>
      </c>
      <c r="D4438" t="s">
        <v>25</v>
      </c>
      <c r="E4438" t="s">
        <v>26</v>
      </c>
      <c r="F4438" t="s">
        <v>17</v>
      </c>
      <c r="G4438" t="str">
        <f>"33"</f>
        <v>33</v>
      </c>
      <c r="H4438" t="str">
        <f>"3  "</f>
        <v xml:space="preserve">3  </v>
      </c>
      <c r="I4438" t="str">
        <f>"2019/01/02"</f>
        <v>2019/01/02</v>
      </c>
      <c r="J4438" t="str">
        <f>"502"</f>
        <v>502</v>
      </c>
      <c r="K4438" t="str">
        <f>"20280401"</f>
        <v>20280401</v>
      </c>
      <c r="L4438" t="s">
        <v>18</v>
      </c>
      <c r="M4438" t="str">
        <f>"20151104"</f>
        <v>20151104</v>
      </c>
    </row>
    <row r="4439" spans="1:13" x14ac:dyDescent="0.25">
      <c r="A4439" t="str">
        <f>"00479470"</f>
        <v>00479470</v>
      </c>
      <c r="B4439" t="s">
        <v>1621</v>
      </c>
      <c r="C4439" t="s">
        <v>135</v>
      </c>
      <c r="D4439" t="s">
        <v>61</v>
      </c>
      <c r="E4439" t="s">
        <v>26</v>
      </c>
      <c r="F4439" t="s">
        <v>17</v>
      </c>
      <c r="G4439" t="str">
        <f>"33"</f>
        <v>33</v>
      </c>
      <c r="H4439" t="str">
        <f>"3  "</f>
        <v xml:space="preserve">3  </v>
      </c>
      <c r="I4439" t="str">
        <f>"2019/01/02"</f>
        <v>2019/01/02</v>
      </c>
      <c r="J4439" t="str">
        <f>"502"</f>
        <v>502</v>
      </c>
      <c r="K4439" t="str">
        <f>"20301003"</f>
        <v>20301003</v>
      </c>
      <c r="L4439" t="s">
        <v>18</v>
      </c>
      <c r="M4439" t="str">
        <f>"20170321"</f>
        <v>20170321</v>
      </c>
    </row>
    <row r="4440" spans="1:13" x14ac:dyDescent="0.25">
      <c r="A4440" t="str">
        <f>"00244318"</f>
        <v>00244318</v>
      </c>
      <c r="B4440" t="s">
        <v>1621</v>
      </c>
      <c r="C4440" t="s">
        <v>96</v>
      </c>
      <c r="D4440" t="s">
        <v>45</v>
      </c>
      <c r="E4440" t="s">
        <v>26</v>
      </c>
      <c r="F4440" t="s">
        <v>17</v>
      </c>
      <c r="G4440" t="str">
        <f>"33"</f>
        <v>33</v>
      </c>
      <c r="H4440" t="str">
        <f>"3  "</f>
        <v xml:space="preserve">3  </v>
      </c>
      <c r="I4440" t="str">
        <f>"2019/01/02"</f>
        <v>2019/01/02</v>
      </c>
      <c r="J4440" t="str">
        <f>"502"</f>
        <v>502</v>
      </c>
      <c r="K4440" t="str">
        <f>"20350614"</f>
        <v>20350614</v>
      </c>
      <c r="L4440" t="s">
        <v>18</v>
      </c>
      <c r="M4440" t="str">
        <f>"20170720"</f>
        <v>20170720</v>
      </c>
    </row>
    <row r="4441" spans="1:13" x14ac:dyDescent="0.25">
      <c r="A4441" t="str">
        <f>"00227158"</f>
        <v>00227158</v>
      </c>
      <c r="B4441" t="s">
        <v>1726</v>
      </c>
      <c r="C4441" t="s">
        <v>833</v>
      </c>
      <c r="D4441" t="s">
        <v>40</v>
      </c>
      <c r="E4441" t="s">
        <v>26</v>
      </c>
      <c r="F4441" t="s">
        <v>17</v>
      </c>
      <c r="G4441" t="str">
        <f>"33"</f>
        <v>33</v>
      </c>
      <c r="H4441" t="str">
        <f>"3  "</f>
        <v xml:space="preserve">3  </v>
      </c>
      <c r="I4441" t="str">
        <f>"2018/11/07"</f>
        <v>2018/11/07</v>
      </c>
      <c r="J4441" t="str">
        <f>"502"</f>
        <v>502</v>
      </c>
      <c r="K4441" t="str">
        <f>"20630923"</f>
        <v>20630923</v>
      </c>
      <c r="L4441" t="s">
        <v>18</v>
      </c>
      <c r="M4441" t="str">
        <f>"20160229"</f>
        <v>20160229</v>
      </c>
    </row>
    <row r="4442" spans="1:13" x14ac:dyDescent="0.25">
      <c r="A4442" t="str">
        <f>"00317858"</f>
        <v>00317858</v>
      </c>
      <c r="B4442" t="s">
        <v>1732</v>
      </c>
      <c r="C4442" t="s">
        <v>176</v>
      </c>
      <c r="D4442" t="s">
        <v>80</v>
      </c>
      <c r="E4442" t="s">
        <v>16</v>
      </c>
      <c r="F4442" t="s">
        <v>17</v>
      </c>
      <c r="G4442" t="str">
        <f>"33"</f>
        <v>33</v>
      </c>
      <c r="H4442" t="str">
        <f>"3  "</f>
        <v xml:space="preserve">3  </v>
      </c>
      <c r="I4442" t="str">
        <f>"2018/11/26"</f>
        <v>2018/11/26</v>
      </c>
      <c r="J4442" t="str">
        <f>"502"</f>
        <v>502</v>
      </c>
      <c r="K4442" t="str">
        <f>"20300726"</f>
        <v>20300726</v>
      </c>
      <c r="L4442" t="s">
        <v>18</v>
      </c>
      <c r="M4442" t="str">
        <f>"20110412"</f>
        <v>20110412</v>
      </c>
    </row>
    <row r="4443" spans="1:13" x14ac:dyDescent="0.25">
      <c r="A4443" t="str">
        <f>"00386692"</f>
        <v>00386692</v>
      </c>
      <c r="B4443" t="s">
        <v>1748</v>
      </c>
      <c r="C4443" t="s">
        <v>62</v>
      </c>
      <c r="D4443" t="s">
        <v>215</v>
      </c>
      <c r="E4443" t="s">
        <v>26</v>
      </c>
      <c r="F4443" t="s">
        <v>17</v>
      </c>
      <c r="G4443" t="str">
        <f>"33"</f>
        <v>33</v>
      </c>
      <c r="H4443" t="str">
        <f>"7  "</f>
        <v xml:space="preserve">7  </v>
      </c>
      <c r="I4443" t="str">
        <f>"2019/02/06"</f>
        <v>2019/02/06</v>
      </c>
      <c r="J4443" t="str">
        <f>"502"</f>
        <v>502</v>
      </c>
      <c r="K4443" t="s">
        <v>18</v>
      </c>
      <c r="L4443" t="s">
        <v>18</v>
      </c>
      <c r="M4443" t="str">
        <f>"20010724"</f>
        <v>20010724</v>
      </c>
    </row>
    <row r="4444" spans="1:13" x14ac:dyDescent="0.25">
      <c r="A4444" t="str">
        <f>"00798499"</f>
        <v>00798499</v>
      </c>
      <c r="B4444" t="s">
        <v>1758</v>
      </c>
      <c r="C4444" t="s">
        <v>124</v>
      </c>
      <c r="D4444" t="s">
        <v>61</v>
      </c>
      <c r="E4444" t="s">
        <v>16</v>
      </c>
      <c r="F4444" t="s">
        <v>17</v>
      </c>
      <c r="G4444" t="str">
        <f>"33"</f>
        <v>33</v>
      </c>
      <c r="H4444" t="str">
        <f>"3  "</f>
        <v xml:space="preserve">3  </v>
      </c>
      <c r="I4444" t="str">
        <f>"2018/11/26"</f>
        <v>2018/11/26</v>
      </c>
      <c r="J4444" t="str">
        <f>"502"</f>
        <v>502</v>
      </c>
      <c r="K4444" t="str">
        <f>"20380909"</f>
        <v>20380909</v>
      </c>
      <c r="L4444" t="s">
        <v>18</v>
      </c>
      <c r="M4444" t="str">
        <f>"20160318"</f>
        <v>20160318</v>
      </c>
    </row>
    <row r="4445" spans="1:13" x14ac:dyDescent="0.25">
      <c r="A4445" t="str">
        <f>"00399580"</f>
        <v>00399580</v>
      </c>
      <c r="B4445" t="s">
        <v>1809</v>
      </c>
      <c r="C4445" t="s">
        <v>613</v>
      </c>
      <c r="D4445" t="s">
        <v>182</v>
      </c>
      <c r="E4445" t="s">
        <v>26</v>
      </c>
      <c r="F4445" t="s">
        <v>17</v>
      </c>
      <c r="G4445" t="str">
        <f>"33"</f>
        <v>33</v>
      </c>
      <c r="H4445" t="str">
        <f>"3  "</f>
        <v xml:space="preserve">3  </v>
      </c>
      <c r="I4445" t="str">
        <f>"2018/11/07"</f>
        <v>2018/11/07</v>
      </c>
      <c r="J4445" t="str">
        <f>"502"</f>
        <v>502</v>
      </c>
      <c r="K4445" t="str">
        <f>"20290808"</f>
        <v>20290808</v>
      </c>
      <c r="L4445" t="s">
        <v>18</v>
      </c>
      <c r="M4445" t="str">
        <f>"20130527"</f>
        <v>20130527</v>
      </c>
    </row>
    <row r="4446" spans="1:13" x14ac:dyDescent="0.25">
      <c r="A4446" t="str">
        <f>"00416644"</f>
        <v>00416644</v>
      </c>
      <c r="B4446" t="s">
        <v>1812</v>
      </c>
      <c r="C4446" t="s">
        <v>1813</v>
      </c>
      <c r="D4446" t="s">
        <v>25</v>
      </c>
      <c r="E4446" t="s">
        <v>26</v>
      </c>
      <c r="F4446" t="s">
        <v>17</v>
      </c>
      <c r="G4446" t="str">
        <f>"33"</f>
        <v>33</v>
      </c>
      <c r="H4446" t="str">
        <f>"3  "</f>
        <v xml:space="preserve">3  </v>
      </c>
      <c r="I4446" t="str">
        <f>"2018/12/04"</f>
        <v>2018/12/04</v>
      </c>
      <c r="J4446" t="str">
        <f>"502"</f>
        <v>502</v>
      </c>
      <c r="K4446" t="str">
        <f>"20390922"</f>
        <v>20390922</v>
      </c>
      <c r="L4446" t="s">
        <v>18</v>
      </c>
      <c r="M4446" t="str">
        <f>"20150806"</f>
        <v>20150806</v>
      </c>
    </row>
    <row r="4447" spans="1:13" x14ac:dyDescent="0.25">
      <c r="A4447" t="str">
        <f>"00310674"</f>
        <v>00310674</v>
      </c>
      <c r="B4447" t="s">
        <v>1812</v>
      </c>
      <c r="C4447" t="s">
        <v>1814</v>
      </c>
      <c r="D4447" t="s">
        <v>61</v>
      </c>
      <c r="E4447" t="s">
        <v>26</v>
      </c>
      <c r="F4447" t="s">
        <v>17</v>
      </c>
      <c r="G4447" t="str">
        <f>"33"</f>
        <v>33</v>
      </c>
      <c r="H4447" t="str">
        <f>"3  "</f>
        <v xml:space="preserve">3  </v>
      </c>
      <c r="I4447" t="str">
        <f>"2019/01/02"</f>
        <v>2019/01/02</v>
      </c>
      <c r="J4447" t="str">
        <f>"502"</f>
        <v>502</v>
      </c>
      <c r="K4447" t="str">
        <f>"20250110"</f>
        <v>20250110</v>
      </c>
      <c r="L4447" t="s">
        <v>18</v>
      </c>
      <c r="M4447" t="str">
        <f>"20170112"</f>
        <v>20170112</v>
      </c>
    </row>
    <row r="4448" spans="1:13" x14ac:dyDescent="0.25">
      <c r="A4448" t="str">
        <f>"00278981"</f>
        <v>00278981</v>
      </c>
      <c r="B4448" t="s">
        <v>1824</v>
      </c>
      <c r="C4448" t="s">
        <v>14</v>
      </c>
      <c r="D4448" t="s">
        <v>456</v>
      </c>
      <c r="E4448" t="s">
        <v>26</v>
      </c>
      <c r="F4448" t="s">
        <v>17</v>
      </c>
      <c r="G4448" t="str">
        <f>"33"</f>
        <v>33</v>
      </c>
      <c r="H4448" t="str">
        <f>"3  "</f>
        <v xml:space="preserve">3  </v>
      </c>
      <c r="I4448" t="str">
        <f>"2018/11/14"</f>
        <v>2018/11/14</v>
      </c>
      <c r="J4448" t="str">
        <f>"502"</f>
        <v>502</v>
      </c>
      <c r="K4448" t="str">
        <f>"20280207"</f>
        <v>20280207</v>
      </c>
      <c r="L4448" t="s">
        <v>18</v>
      </c>
      <c r="M4448" t="str">
        <f>"20170615"</f>
        <v>20170615</v>
      </c>
    </row>
    <row r="4449" spans="1:13" x14ac:dyDescent="0.25">
      <c r="A4449" t="str">
        <f>"00735564"</f>
        <v>00735564</v>
      </c>
      <c r="B4449" t="s">
        <v>1824</v>
      </c>
      <c r="C4449" t="s">
        <v>1825</v>
      </c>
      <c r="D4449" t="s">
        <v>25</v>
      </c>
      <c r="E4449" t="s">
        <v>26</v>
      </c>
      <c r="F4449" t="s">
        <v>17</v>
      </c>
      <c r="G4449" t="str">
        <f>"33"</f>
        <v>33</v>
      </c>
      <c r="H4449" t="str">
        <f>"3  "</f>
        <v xml:space="preserve">3  </v>
      </c>
      <c r="I4449" t="str">
        <f>"2019/01/02"</f>
        <v>2019/01/02</v>
      </c>
      <c r="J4449" t="str">
        <f>"502"</f>
        <v>502</v>
      </c>
      <c r="K4449" t="str">
        <f>"20420301"</f>
        <v>20420301</v>
      </c>
      <c r="L4449" t="s">
        <v>18</v>
      </c>
      <c r="M4449" t="str">
        <f>"20150516"</f>
        <v>20150516</v>
      </c>
    </row>
    <row r="4450" spans="1:13" x14ac:dyDescent="0.25">
      <c r="A4450" t="str">
        <f>"00824428"</f>
        <v>00824428</v>
      </c>
      <c r="B4450" t="s">
        <v>1836</v>
      </c>
      <c r="C4450" t="s">
        <v>348</v>
      </c>
      <c r="D4450" t="s">
        <v>97</v>
      </c>
      <c r="E4450" t="s">
        <v>16</v>
      </c>
      <c r="F4450" t="s">
        <v>17</v>
      </c>
      <c r="G4450" t="str">
        <f>"33"</f>
        <v>33</v>
      </c>
      <c r="H4450" t="str">
        <f>"3  "</f>
        <v xml:space="preserve">3  </v>
      </c>
      <c r="I4450" t="str">
        <f>"2019/01/17"</f>
        <v>2019/01/17</v>
      </c>
      <c r="J4450" t="str">
        <f>"503"</f>
        <v>503</v>
      </c>
      <c r="K4450" t="str">
        <f>"20380318"</f>
        <v>20380318</v>
      </c>
      <c r="L4450" t="s">
        <v>18</v>
      </c>
      <c r="M4450" t="str">
        <f>"20151018"</f>
        <v>20151018</v>
      </c>
    </row>
    <row r="4451" spans="1:13" x14ac:dyDescent="0.25">
      <c r="A4451" t="str">
        <f>"00562158"</f>
        <v>00562158</v>
      </c>
      <c r="B4451" t="s">
        <v>1840</v>
      </c>
      <c r="C4451" t="s">
        <v>135</v>
      </c>
      <c r="D4451" t="s">
        <v>45</v>
      </c>
      <c r="E4451" t="s">
        <v>26</v>
      </c>
      <c r="F4451" t="s">
        <v>17</v>
      </c>
      <c r="G4451" t="str">
        <f>"33"</f>
        <v>33</v>
      </c>
      <c r="H4451" t="str">
        <f>"3  "</f>
        <v xml:space="preserve">3  </v>
      </c>
      <c r="I4451" t="str">
        <f>"2018/11/07"</f>
        <v>2018/11/07</v>
      </c>
      <c r="J4451" t="str">
        <f>"502"</f>
        <v>502</v>
      </c>
      <c r="K4451" t="str">
        <f>"20341025"</f>
        <v>20341025</v>
      </c>
      <c r="L4451" t="s">
        <v>18</v>
      </c>
      <c r="M4451" t="str">
        <f>"20130411"</f>
        <v>20130411</v>
      </c>
    </row>
    <row r="4452" spans="1:13" x14ac:dyDescent="0.25">
      <c r="A4452" t="str">
        <f>"00593526"</f>
        <v>00593526</v>
      </c>
      <c r="B4452" t="s">
        <v>1840</v>
      </c>
      <c r="C4452" t="s">
        <v>1852</v>
      </c>
      <c r="D4452" t="s">
        <v>51</v>
      </c>
      <c r="E4452" t="s">
        <v>26</v>
      </c>
      <c r="F4452" t="s">
        <v>17</v>
      </c>
      <c r="G4452" t="str">
        <f>"33"</f>
        <v>33</v>
      </c>
      <c r="H4452" t="str">
        <f>"3  "</f>
        <v xml:space="preserve">3  </v>
      </c>
      <c r="I4452" t="str">
        <f>"2018/12/18"</f>
        <v>2018/12/18</v>
      </c>
      <c r="J4452" t="str">
        <f>"502"</f>
        <v>502</v>
      </c>
      <c r="K4452" t="str">
        <f>"20340907"</f>
        <v>20340907</v>
      </c>
      <c r="L4452" t="s">
        <v>18</v>
      </c>
      <c r="M4452" t="str">
        <f>"20100810"</f>
        <v>20100810</v>
      </c>
    </row>
    <row r="4453" spans="1:13" x14ac:dyDescent="0.25">
      <c r="A4453" t="str">
        <f>"00316138"</f>
        <v>00316138</v>
      </c>
      <c r="B4453" t="s">
        <v>1889</v>
      </c>
      <c r="C4453" t="s">
        <v>124</v>
      </c>
      <c r="D4453" t="s">
        <v>15</v>
      </c>
      <c r="E4453" t="s">
        <v>26</v>
      </c>
      <c r="F4453" t="s">
        <v>17</v>
      </c>
      <c r="G4453" t="str">
        <f>"33"</f>
        <v>33</v>
      </c>
      <c r="H4453" t="str">
        <f>"3  "</f>
        <v xml:space="preserve">3  </v>
      </c>
      <c r="I4453" t="str">
        <f>"2019/05/30"</f>
        <v>2019/05/30</v>
      </c>
      <c r="J4453" t="str">
        <f>"502"</f>
        <v>502</v>
      </c>
      <c r="K4453" t="str">
        <f>"20261224"</f>
        <v>20261224</v>
      </c>
      <c r="L4453" t="s">
        <v>18</v>
      </c>
      <c r="M4453" t="str">
        <f>"20090623"</f>
        <v>20090623</v>
      </c>
    </row>
    <row r="4454" spans="1:13" x14ac:dyDescent="0.25">
      <c r="A4454" t="str">
        <f>"00632016"</f>
        <v>00632016</v>
      </c>
      <c r="B4454" t="s">
        <v>1907</v>
      </c>
      <c r="C4454" t="s">
        <v>1909</v>
      </c>
      <c r="D4454" t="s">
        <v>40</v>
      </c>
      <c r="E4454" t="s">
        <v>16</v>
      </c>
      <c r="F4454" t="s">
        <v>17</v>
      </c>
      <c r="G4454" t="str">
        <f>"33"</f>
        <v>33</v>
      </c>
      <c r="H4454" t="str">
        <f>"3  "</f>
        <v xml:space="preserve">3  </v>
      </c>
      <c r="I4454" t="str">
        <f>"2018/12/18"</f>
        <v>2018/12/18</v>
      </c>
      <c r="J4454" t="str">
        <f>"502"</f>
        <v>502</v>
      </c>
      <c r="K4454" t="str">
        <f>"20280608"</f>
        <v>20280608</v>
      </c>
      <c r="L4454" t="s">
        <v>18</v>
      </c>
      <c r="M4454" t="str">
        <f>"20160208"</f>
        <v>20160208</v>
      </c>
    </row>
    <row r="4455" spans="1:13" x14ac:dyDescent="0.25">
      <c r="A4455" t="str">
        <f>"00591963"</f>
        <v>00591963</v>
      </c>
      <c r="B4455" t="s">
        <v>1916</v>
      </c>
      <c r="C4455" t="s">
        <v>245</v>
      </c>
      <c r="D4455" t="s">
        <v>51</v>
      </c>
      <c r="E4455" t="s">
        <v>26</v>
      </c>
      <c r="F4455" t="s">
        <v>17</v>
      </c>
      <c r="G4455" t="str">
        <f>"33"</f>
        <v>33</v>
      </c>
      <c r="H4455" t="str">
        <f>"3  "</f>
        <v xml:space="preserve">3  </v>
      </c>
      <c r="I4455" t="str">
        <f>"2019/11/22"</f>
        <v>2019/11/22</v>
      </c>
      <c r="J4455" t="str">
        <f>"510"</f>
        <v>510</v>
      </c>
      <c r="K4455" t="str">
        <f>"20260128"</f>
        <v>20260128</v>
      </c>
      <c r="L4455" t="s">
        <v>18</v>
      </c>
      <c r="M4455" t="str">
        <f>"20100205"</f>
        <v>20100205</v>
      </c>
    </row>
    <row r="4456" spans="1:13" x14ac:dyDescent="0.25">
      <c r="A4456" t="str">
        <f>"00301890"</f>
        <v>00301890</v>
      </c>
      <c r="B4456" t="s">
        <v>1919</v>
      </c>
      <c r="C4456" t="s">
        <v>1472</v>
      </c>
      <c r="D4456" t="s">
        <v>15</v>
      </c>
      <c r="E4456" t="s">
        <v>26</v>
      </c>
      <c r="F4456" t="s">
        <v>17</v>
      </c>
      <c r="G4456" t="str">
        <f>"33"</f>
        <v>33</v>
      </c>
      <c r="H4456" t="str">
        <f>"3  "</f>
        <v xml:space="preserve">3  </v>
      </c>
      <c r="I4456" t="str">
        <f>"2019/01/15"</f>
        <v>2019/01/15</v>
      </c>
      <c r="J4456" t="str">
        <f>"510"</f>
        <v>510</v>
      </c>
      <c r="K4456" t="str">
        <f>"20211222"</f>
        <v>20211222</v>
      </c>
      <c r="L4456" t="s">
        <v>18</v>
      </c>
      <c r="M4456" t="str">
        <f>"20180606"</f>
        <v>20180606</v>
      </c>
    </row>
    <row r="4457" spans="1:13" x14ac:dyDescent="0.25">
      <c r="A4457" t="str">
        <f>"00327773"</f>
        <v>00327773</v>
      </c>
      <c r="B4457" t="s">
        <v>1920</v>
      </c>
      <c r="C4457" t="s">
        <v>237</v>
      </c>
      <c r="D4457" t="s">
        <v>21</v>
      </c>
      <c r="E4457" t="s">
        <v>26</v>
      </c>
      <c r="F4457" t="s">
        <v>17</v>
      </c>
      <c r="G4457" t="str">
        <f>"33"</f>
        <v>33</v>
      </c>
      <c r="H4457" t="str">
        <f>"3  "</f>
        <v xml:space="preserve">3  </v>
      </c>
      <c r="I4457" t="str">
        <f>"2018/12/12"</f>
        <v>2018/12/12</v>
      </c>
      <c r="J4457" t="str">
        <f>"502"</f>
        <v>502</v>
      </c>
      <c r="K4457" t="str">
        <f>"20460218"</f>
        <v>20460218</v>
      </c>
      <c r="L4457" t="s">
        <v>18</v>
      </c>
      <c r="M4457" t="str">
        <f>"20110724"</f>
        <v>20110724</v>
      </c>
    </row>
    <row r="4458" spans="1:13" x14ac:dyDescent="0.25">
      <c r="A4458" t="str">
        <f>"00440474"</f>
        <v>00440474</v>
      </c>
      <c r="B4458" t="s">
        <v>1924</v>
      </c>
      <c r="C4458" t="s">
        <v>148</v>
      </c>
      <c r="D4458" t="s">
        <v>51</v>
      </c>
      <c r="E4458" t="s">
        <v>26</v>
      </c>
      <c r="F4458" t="s">
        <v>17</v>
      </c>
      <c r="G4458" t="str">
        <f>"33"</f>
        <v>33</v>
      </c>
      <c r="H4458" t="str">
        <f>"3  "</f>
        <v xml:space="preserve">3  </v>
      </c>
      <c r="I4458" t="str">
        <f>"2018/11/14"</f>
        <v>2018/11/14</v>
      </c>
      <c r="J4458" t="str">
        <f>"502"</f>
        <v>502</v>
      </c>
      <c r="K4458" t="str">
        <f>"20261031"</f>
        <v>20261031</v>
      </c>
      <c r="L4458" t="s">
        <v>18</v>
      </c>
      <c r="M4458" t="str">
        <f>"20100929"</f>
        <v>20100929</v>
      </c>
    </row>
    <row r="4459" spans="1:13" x14ac:dyDescent="0.25">
      <c r="A4459" t="str">
        <f>"00324063"</f>
        <v>00324063</v>
      </c>
      <c r="B4459" t="s">
        <v>1929</v>
      </c>
      <c r="C4459" t="s">
        <v>136</v>
      </c>
      <c r="D4459" t="s">
        <v>182</v>
      </c>
      <c r="E4459" t="s">
        <v>26</v>
      </c>
      <c r="F4459" t="s">
        <v>17</v>
      </c>
      <c r="G4459" t="str">
        <f>"33"</f>
        <v>33</v>
      </c>
      <c r="H4459" t="str">
        <f>"3  "</f>
        <v xml:space="preserve">3  </v>
      </c>
      <c r="I4459" t="str">
        <f>"2018/11/07"</f>
        <v>2018/11/07</v>
      </c>
      <c r="J4459" t="str">
        <f>"502"</f>
        <v>502</v>
      </c>
      <c r="K4459" t="str">
        <f>"20400820"</f>
        <v>20400820</v>
      </c>
      <c r="L4459" t="s">
        <v>18</v>
      </c>
      <c r="M4459" t="str">
        <f>"20131031"</f>
        <v>20131031</v>
      </c>
    </row>
    <row r="4460" spans="1:13" x14ac:dyDescent="0.25">
      <c r="A4460" t="str">
        <f>"00257043"</f>
        <v>00257043</v>
      </c>
      <c r="B4460" t="s">
        <v>1945</v>
      </c>
      <c r="C4460" t="s">
        <v>74</v>
      </c>
      <c r="D4460" t="s">
        <v>53</v>
      </c>
      <c r="E4460" t="s">
        <v>26</v>
      </c>
      <c r="F4460" t="s">
        <v>17</v>
      </c>
      <c r="G4460" t="str">
        <f>"33"</f>
        <v>33</v>
      </c>
      <c r="H4460" t="str">
        <f>"7  "</f>
        <v xml:space="preserve">7  </v>
      </c>
      <c r="I4460" t="str">
        <f>"2019/01/29"</f>
        <v>2019/01/29</v>
      </c>
      <c r="J4460" t="str">
        <f>"502"</f>
        <v>502</v>
      </c>
      <c r="K4460" t="s">
        <v>18</v>
      </c>
      <c r="L4460" t="s">
        <v>18</v>
      </c>
      <c r="M4460" t="str">
        <f>"20080207"</f>
        <v>20080207</v>
      </c>
    </row>
    <row r="4461" spans="1:13" x14ac:dyDescent="0.25">
      <c r="A4461" t="str">
        <f>"00465822"</f>
        <v>00465822</v>
      </c>
      <c r="B4461" t="s">
        <v>1948</v>
      </c>
      <c r="C4461" t="s">
        <v>148</v>
      </c>
      <c r="D4461" t="s">
        <v>53</v>
      </c>
      <c r="E4461" t="s">
        <v>26</v>
      </c>
      <c r="F4461" t="s">
        <v>17</v>
      </c>
      <c r="G4461" t="str">
        <f>"33"</f>
        <v>33</v>
      </c>
      <c r="H4461" t="str">
        <f>"3  "</f>
        <v xml:space="preserve">3  </v>
      </c>
      <c r="I4461" t="str">
        <f>"2019/04/16"</f>
        <v>2019/04/16</v>
      </c>
      <c r="J4461" t="str">
        <f>"510"</f>
        <v>510</v>
      </c>
      <c r="K4461" t="str">
        <f>"20310113"</f>
        <v>20310113</v>
      </c>
      <c r="L4461" t="s">
        <v>18</v>
      </c>
      <c r="M4461" t="str">
        <f>"20130823"</f>
        <v>20130823</v>
      </c>
    </row>
    <row r="4462" spans="1:13" x14ac:dyDescent="0.25">
      <c r="A4462" t="str">
        <f>"00376960"</f>
        <v>00376960</v>
      </c>
      <c r="B4462" t="s">
        <v>1960</v>
      </c>
      <c r="C4462" t="s">
        <v>398</v>
      </c>
      <c r="D4462" t="s">
        <v>21</v>
      </c>
      <c r="E4462" t="s">
        <v>16</v>
      </c>
      <c r="F4462" t="s">
        <v>17</v>
      </c>
      <c r="G4462" t="str">
        <f>"33"</f>
        <v>33</v>
      </c>
      <c r="H4462" t="str">
        <f>"3  "</f>
        <v xml:space="preserve">3  </v>
      </c>
      <c r="I4462" t="str">
        <f>"2018/11/14"</f>
        <v>2018/11/14</v>
      </c>
      <c r="J4462" t="str">
        <f>"502"</f>
        <v>502</v>
      </c>
      <c r="K4462" t="str">
        <f>"20380806"</f>
        <v>20380806</v>
      </c>
      <c r="L4462" t="s">
        <v>18</v>
      </c>
      <c r="M4462" t="str">
        <f>"20110914"</f>
        <v>20110914</v>
      </c>
    </row>
    <row r="4463" spans="1:13" x14ac:dyDescent="0.25">
      <c r="A4463" t="str">
        <f>"00443817"</f>
        <v>00443817</v>
      </c>
      <c r="B4463" t="s">
        <v>1975</v>
      </c>
      <c r="C4463" t="s">
        <v>1977</v>
      </c>
      <c r="D4463" t="s">
        <v>21</v>
      </c>
      <c r="E4463" t="s">
        <v>26</v>
      </c>
      <c r="F4463" t="s">
        <v>17</v>
      </c>
      <c r="G4463" t="str">
        <f>"33"</f>
        <v>33</v>
      </c>
      <c r="H4463" t="str">
        <f>"3  "</f>
        <v xml:space="preserve">3  </v>
      </c>
      <c r="I4463" t="str">
        <f>"2019/01/23"</f>
        <v>2019/01/23</v>
      </c>
      <c r="J4463" t="str">
        <f>"502"</f>
        <v>502</v>
      </c>
      <c r="K4463" t="str">
        <f>"20470308"</f>
        <v>20470308</v>
      </c>
      <c r="L4463" t="s">
        <v>18</v>
      </c>
      <c r="M4463" t="str">
        <f>"20080923"</f>
        <v>20080923</v>
      </c>
    </row>
    <row r="4464" spans="1:13" x14ac:dyDescent="0.25">
      <c r="A4464" t="str">
        <f>"00559405"</f>
        <v>00559405</v>
      </c>
      <c r="B4464" t="s">
        <v>1986</v>
      </c>
      <c r="C4464" t="s">
        <v>1987</v>
      </c>
      <c r="D4464" t="s">
        <v>25</v>
      </c>
      <c r="E4464" t="s">
        <v>26</v>
      </c>
      <c r="F4464" t="s">
        <v>17</v>
      </c>
      <c r="G4464" t="str">
        <f>"33"</f>
        <v>33</v>
      </c>
      <c r="H4464" t="str">
        <f>"3  "</f>
        <v xml:space="preserve">3  </v>
      </c>
      <c r="I4464" t="str">
        <f>"2018/11/07"</f>
        <v>2018/11/07</v>
      </c>
      <c r="J4464" t="str">
        <f>"502"</f>
        <v>502</v>
      </c>
      <c r="K4464" t="str">
        <f>"20250226"</f>
        <v>20250226</v>
      </c>
      <c r="L4464" t="s">
        <v>18</v>
      </c>
      <c r="M4464" t="str">
        <f>"20160303"</f>
        <v>20160303</v>
      </c>
    </row>
    <row r="4465" spans="1:13" x14ac:dyDescent="0.25">
      <c r="A4465" t="str">
        <f>"00609210"</f>
        <v>00609210</v>
      </c>
      <c r="B4465" t="s">
        <v>1991</v>
      </c>
      <c r="C4465" t="s">
        <v>1992</v>
      </c>
      <c r="D4465" t="s">
        <v>51</v>
      </c>
      <c r="E4465" t="s">
        <v>26</v>
      </c>
      <c r="F4465" t="s">
        <v>17</v>
      </c>
      <c r="G4465" t="str">
        <f>"33"</f>
        <v>33</v>
      </c>
      <c r="H4465" t="str">
        <f>"3  "</f>
        <v xml:space="preserve">3  </v>
      </c>
      <c r="I4465" t="str">
        <f>"2018/11/07"</f>
        <v>2018/11/07</v>
      </c>
      <c r="J4465" t="str">
        <f>"502"</f>
        <v>502</v>
      </c>
      <c r="K4465" t="str">
        <f>"20260818"</f>
        <v>20260818</v>
      </c>
      <c r="L4465" t="s">
        <v>18</v>
      </c>
      <c r="M4465" t="str">
        <f>"20140204"</f>
        <v>20140204</v>
      </c>
    </row>
    <row r="4466" spans="1:13" x14ac:dyDescent="0.25">
      <c r="A4466" t="str">
        <f>"00350984"</f>
        <v>00350984</v>
      </c>
      <c r="B4466" t="s">
        <v>2022</v>
      </c>
      <c r="C4466" t="s">
        <v>327</v>
      </c>
      <c r="D4466" t="s">
        <v>97</v>
      </c>
      <c r="E4466" t="s">
        <v>26</v>
      </c>
      <c r="F4466" t="s">
        <v>17</v>
      </c>
      <c r="G4466" t="str">
        <f>"33"</f>
        <v>33</v>
      </c>
      <c r="H4466" t="str">
        <f>"3  "</f>
        <v xml:space="preserve">3  </v>
      </c>
      <c r="I4466" t="str">
        <f>"2019/01/02"</f>
        <v>2019/01/02</v>
      </c>
      <c r="J4466" t="str">
        <f>"502"</f>
        <v>502</v>
      </c>
      <c r="K4466" t="str">
        <f>"20250617"</f>
        <v>20250617</v>
      </c>
      <c r="L4466" t="s">
        <v>18</v>
      </c>
      <c r="M4466" t="str">
        <f>"20160812"</f>
        <v>20160812</v>
      </c>
    </row>
    <row r="4467" spans="1:13" x14ac:dyDescent="0.25">
      <c r="A4467" t="str">
        <f>"00434673"</f>
        <v>00434673</v>
      </c>
      <c r="B4467" t="s">
        <v>2024</v>
      </c>
      <c r="C4467" t="s">
        <v>44</v>
      </c>
      <c r="D4467" t="s">
        <v>97</v>
      </c>
      <c r="E4467" t="s">
        <v>26</v>
      </c>
      <c r="F4467" t="s">
        <v>17</v>
      </c>
      <c r="G4467" t="str">
        <f>"33"</f>
        <v>33</v>
      </c>
      <c r="H4467" t="str">
        <f>"3  "</f>
        <v xml:space="preserve">3  </v>
      </c>
      <c r="I4467" t="str">
        <f>"2019/01/09"</f>
        <v>2019/01/09</v>
      </c>
      <c r="J4467" t="str">
        <f>"502"</f>
        <v>502</v>
      </c>
      <c r="K4467" t="str">
        <f>"20451004"</f>
        <v>20451004</v>
      </c>
      <c r="L4467" t="s">
        <v>18</v>
      </c>
      <c r="M4467" t="str">
        <f>"20051130"</f>
        <v>20051130</v>
      </c>
    </row>
    <row r="4468" spans="1:13" x14ac:dyDescent="0.25">
      <c r="A4468" t="str">
        <f>"00347501"</f>
        <v>00347501</v>
      </c>
      <c r="B4468" t="s">
        <v>2044</v>
      </c>
      <c r="C4468" t="s">
        <v>1337</v>
      </c>
      <c r="D4468" t="s">
        <v>26</v>
      </c>
      <c r="E4468" t="s">
        <v>26</v>
      </c>
      <c r="F4468" t="s">
        <v>17</v>
      </c>
      <c r="G4468" t="str">
        <f>"33"</f>
        <v>33</v>
      </c>
      <c r="H4468" t="str">
        <f>"3  "</f>
        <v xml:space="preserve">3  </v>
      </c>
      <c r="I4468" t="str">
        <f>"2019/01/02"</f>
        <v>2019/01/02</v>
      </c>
      <c r="J4468" t="str">
        <f>"502"</f>
        <v>502</v>
      </c>
      <c r="K4468" t="str">
        <f>"20390612"</f>
        <v>20390612</v>
      </c>
      <c r="L4468" t="s">
        <v>18</v>
      </c>
      <c r="M4468" t="str">
        <f>"20170124"</f>
        <v>20170124</v>
      </c>
    </row>
    <row r="4469" spans="1:13" x14ac:dyDescent="0.25">
      <c r="A4469" t="str">
        <f>"00656415"</f>
        <v>00656415</v>
      </c>
      <c r="B4469" t="s">
        <v>2061</v>
      </c>
      <c r="C4469" t="s">
        <v>333</v>
      </c>
      <c r="D4469" t="s">
        <v>456</v>
      </c>
      <c r="E4469" t="s">
        <v>26</v>
      </c>
      <c r="F4469" t="s">
        <v>17</v>
      </c>
      <c r="G4469" t="str">
        <f>"33"</f>
        <v>33</v>
      </c>
      <c r="H4469" t="str">
        <f>"3  "</f>
        <v xml:space="preserve">3  </v>
      </c>
      <c r="I4469" t="str">
        <f>"2019/01/02"</f>
        <v>2019/01/02</v>
      </c>
      <c r="J4469" t="str">
        <f>"502"</f>
        <v>502</v>
      </c>
      <c r="K4469" t="str">
        <f>"20250129"</f>
        <v>20250129</v>
      </c>
      <c r="L4469" t="s">
        <v>18</v>
      </c>
      <c r="M4469" t="str">
        <f>"20171124"</f>
        <v>20171124</v>
      </c>
    </row>
    <row r="4470" spans="1:13" x14ac:dyDescent="0.25">
      <c r="A4470" t="str">
        <f>"00444757"</f>
        <v>00444757</v>
      </c>
      <c r="B4470" t="s">
        <v>2061</v>
      </c>
      <c r="C4470" t="s">
        <v>72</v>
      </c>
      <c r="D4470" t="s">
        <v>21</v>
      </c>
      <c r="E4470" t="s">
        <v>26</v>
      </c>
      <c r="F4470" t="s">
        <v>17</v>
      </c>
      <c r="G4470" t="str">
        <f>"33"</f>
        <v>33</v>
      </c>
      <c r="H4470" t="str">
        <f>"3  "</f>
        <v xml:space="preserve">3  </v>
      </c>
      <c r="I4470" t="str">
        <f>"2019/06/28"</f>
        <v>2019/06/28</v>
      </c>
      <c r="J4470" t="str">
        <f>"502"</f>
        <v>502</v>
      </c>
      <c r="K4470" t="str">
        <f>"20310207"</f>
        <v>20310207</v>
      </c>
      <c r="L4470" t="s">
        <v>18</v>
      </c>
      <c r="M4470" t="str">
        <f>"20071022"</f>
        <v>20071022</v>
      </c>
    </row>
    <row r="4471" spans="1:13" x14ac:dyDescent="0.25">
      <c r="A4471" t="str">
        <f>"00475440"</f>
        <v>00475440</v>
      </c>
      <c r="B4471" t="s">
        <v>2061</v>
      </c>
      <c r="C4471" t="s">
        <v>74</v>
      </c>
      <c r="D4471" t="s">
        <v>53</v>
      </c>
      <c r="E4471" t="s">
        <v>26</v>
      </c>
      <c r="F4471" t="s">
        <v>17</v>
      </c>
      <c r="G4471" t="str">
        <f>"33"</f>
        <v>33</v>
      </c>
      <c r="H4471" t="str">
        <f>"3  "</f>
        <v xml:space="preserve">3  </v>
      </c>
      <c r="I4471" t="str">
        <f>"2019/01/02"</f>
        <v>2019/01/02</v>
      </c>
      <c r="J4471" t="str">
        <f>"502"</f>
        <v>502</v>
      </c>
      <c r="K4471" t="str">
        <f>"20520925"</f>
        <v>20520925</v>
      </c>
      <c r="L4471" t="s">
        <v>18</v>
      </c>
      <c r="M4471" t="str">
        <f>"20160831"</f>
        <v>20160831</v>
      </c>
    </row>
    <row r="4472" spans="1:13" x14ac:dyDescent="0.25">
      <c r="A4472" t="str">
        <f>"00633577"</f>
        <v>00633577</v>
      </c>
      <c r="B4472" t="s">
        <v>2061</v>
      </c>
      <c r="C4472" t="s">
        <v>601</v>
      </c>
      <c r="D4472" t="s">
        <v>97</v>
      </c>
      <c r="E4472" t="s">
        <v>26</v>
      </c>
      <c r="F4472" t="s">
        <v>17</v>
      </c>
      <c r="G4472" t="str">
        <f>"33"</f>
        <v>33</v>
      </c>
      <c r="H4472" t="str">
        <f>"3  "</f>
        <v xml:space="preserve">3  </v>
      </c>
      <c r="I4472" t="str">
        <f>"2019/01/02"</f>
        <v>2019/01/02</v>
      </c>
      <c r="J4472" t="str">
        <f>"502"</f>
        <v>502</v>
      </c>
      <c r="K4472" t="str">
        <f>"20311017"</f>
        <v>20311017</v>
      </c>
      <c r="L4472" t="s">
        <v>18</v>
      </c>
      <c r="M4472" t="str">
        <f>"20140716"</f>
        <v>20140716</v>
      </c>
    </row>
    <row r="4473" spans="1:13" x14ac:dyDescent="0.25">
      <c r="A4473" t="str">
        <f>"00448667"</f>
        <v>00448667</v>
      </c>
      <c r="B4473" t="s">
        <v>2061</v>
      </c>
      <c r="C4473" t="s">
        <v>563</v>
      </c>
      <c r="D4473" t="s">
        <v>40</v>
      </c>
      <c r="E4473" t="s">
        <v>26</v>
      </c>
      <c r="F4473" t="s">
        <v>17</v>
      </c>
      <c r="G4473" t="str">
        <f>"33"</f>
        <v>33</v>
      </c>
      <c r="H4473" t="str">
        <f>"3  "</f>
        <v xml:space="preserve">3  </v>
      </c>
      <c r="I4473" t="str">
        <f>"2018/11/20"</f>
        <v>2018/11/20</v>
      </c>
      <c r="J4473" t="str">
        <f>"502"</f>
        <v>502</v>
      </c>
      <c r="K4473" t="str">
        <f>"20301110"</f>
        <v>20301110</v>
      </c>
      <c r="L4473" t="s">
        <v>18</v>
      </c>
      <c r="M4473" t="str">
        <f>"20170624"</f>
        <v>20170624</v>
      </c>
    </row>
    <row r="4474" spans="1:13" x14ac:dyDescent="0.25">
      <c r="A4474" t="str">
        <f>"00629079"</f>
        <v>00629079</v>
      </c>
      <c r="B4474" t="s">
        <v>2076</v>
      </c>
      <c r="C4474" t="s">
        <v>808</v>
      </c>
      <c r="D4474" t="s">
        <v>53</v>
      </c>
      <c r="E4474" t="s">
        <v>16</v>
      </c>
      <c r="F4474" t="s">
        <v>17</v>
      </c>
      <c r="G4474" t="str">
        <f>"33"</f>
        <v>33</v>
      </c>
      <c r="H4474" t="str">
        <f>"3  "</f>
        <v xml:space="preserve">3  </v>
      </c>
      <c r="I4474" t="str">
        <f>"2018/11/07"</f>
        <v>2018/11/07</v>
      </c>
      <c r="J4474" t="str">
        <f>"502"</f>
        <v>502</v>
      </c>
      <c r="K4474" t="str">
        <f>"20310218"</f>
        <v>20310218</v>
      </c>
      <c r="L4474" t="s">
        <v>18</v>
      </c>
      <c r="M4474" t="str">
        <f>"20081014"</f>
        <v>20081014</v>
      </c>
    </row>
    <row r="4475" spans="1:13" x14ac:dyDescent="0.25">
      <c r="A4475" t="str">
        <f>"00461477"</f>
        <v>00461477</v>
      </c>
      <c r="B4475" t="s">
        <v>2082</v>
      </c>
      <c r="C4475" t="s">
        <v>663</v>
      </c>
      <c r="D4475" t="s">
        <v>21</v>
      </c>
      <c r="E4475" t="s">
        <v>26</v>
      </c>
      <c r="F4475" t="s">
        <v>17</v>
      </c>
      <c r="G4475" t="str">
        <f>"33"</f>
        <v>33</v>
      </c>
      <c r="H4475" t="str">
        <f>"3  "</f>
        <v xml:space="preserve">3  </v>
      </c>
      <c r="I4475" t="str">
        <f>"2019/01/29"</f>
        <v>2019/01/29</v>
      </c>
      <c r="J4475" t="str">
        <f>"502"</f>
        <v>502</v>
      </c>
      <c r="K4475" t="str">
        <f>"20340103"</f>
        <v>20340103</v>
      </c>
      <c r="L4475" t="s">
        <v>18</v>
      </c>
      <c r="M4475" t="str">
        <f>"20171011"</f>
        <v>20171011</v>
      </c>
    </row>
    <row r="4476" spans="1:13" x14ac:dyDescent="0.25">
      <c r="A4476" t="str">
        <f>"00313027"</f>
        <v>00313027</v>
      </c>
      <c r="B4476" t="s">
        <v>2099</v>
      </c>
      <c r="C4476" t="s">
        <v>136</v>
      </c>
      <c r="D4476" t="s">
        <v>51</v>
      </c>
      <c r="E4476" t="s">
        <v>16</v>
      </c>
      <c r="F4476" t="s">
        <v>17</v>
      </c>
      <c r="G4476" t="str">
        <f>"33"</f>
        <v>33</v>
      </c>
      <c r="H4476" t="str">
        <f>"3  "</f>
        <v xml:space="preserve">3  </v>
      </c>
      <c r="I4476" t="str">
        <f>"2019/01/15"</f>
        <v>2019/01/15</v>
      </c>
      <c r="J4476" t="str">
        <f>"510"</f>
        <v>510</v>
      </c>
      <c r="K4476" t="str">
        <f>"20250820"</f>
        <v>20250820</v>
      </c>
      <c r="L4476" t="s">
        <v>18</v>
      </c>
      <c r="M4476" t="str">
        <f>"20170924"</f>
        <v>20170924</v>
      </c>
    </row>
    <row r="4477" spans="1:13" x14ac:dyDescent="0.25">
      <c r="A4477" t="str">
        <f>"00398153"</f>
        <v>00398153</v>
      </c>
      <c r="B4477" t="s">
        <v>2103</v>
      </c>
      <c r="C4477" t="s">
        <v>1084</v>
      </c>
      <c r="D4477" t="s">
        <v>25</v>
      </c>
      <c r="E4477" t="s">
        <v>26</v>
      </c>
      <c r="F4477" t="s">
        <v>17</v>
      </c>
      <c r="G4477" t="str">
        <f>"33"</f>
        <v>33</v>
      </c>
      <c r="H4477" t="str">
        <f>"3  "</f>
        <v xml:space="preserve">3  </v>
      </c>
      <c r="I4477" t="str">
        <f>"2018/11/20"</f>
        <v>2018/11/20</v>
      </c>
      <c r="J4477" t="str">
        <f>"502"</f>
        <v>502</v>
      </c>
      <c r="K4477" t="str">
        <f>"20281220"</f>
        <v>20281220</v>
      </c>
      <c r="L4477" t="s">
        <v>18</v>
      </c>
      <c r="M4477" t="str">
        <f>"20061122"</f>
        <v>20061122</v>
      </c>
    </row>
    <row r="4478" spans="1:13" x14ac:dyDescent="0.25">
      <c r="A4478" t="str">
        <f>"00277320"</f>
        <v>00277320</v>
      </c>
      <c r="B4478" t="s">
        <v>2103</v>
      </c>
      <c r="C4478" t="s">
        <v>248</v>
      </c>
      <c r="D4478" t="s">
        <v>45</v>
      </c>
      <c r="E4478" t="s">
        <v>26</v>
      </c>
      <c r="F4478" t="s">
        <v>17</v>
      </c>
      <c r="G4478" t="str">
        <f>"33"</f>
        <v>33</v>
      </c>
      <c r="H4478" t="str">
        <f>"7  "</f>
        <v xml:space="preserve">7  </v>
      </c>
      <c r="I4478" t="str">
        <f>"2019/01/29"</f>
        <v>2019/01/29</v>
      </c>
      <c r="J4478" t="str">
        <f>"502"</f>
        <v>502</v>
      </c>
      <c r="K4478" t="s">
        <v>18</v>
      </c>
      <c r="L4478" t="s">
        <v>18</v>
      </c>
      <c r="M4478" t="str">
        <f>"20030923"</f>
        <v>20030923</v>
      </c>
    </row>
    <row r="4479" spans="1:13" x14ac:dyDescent="0.25">
      <c r="A4479" t="str">
        <f>"00237283"</f>
        <v>00237283</v>
      </c>
      <c r="B4479" t="s">
        <v>2122</v>
      </c>
      <c r="C4479" t="s">
        <v>2124</v>
      </c>
      <c r="D4479" t="s">
        <v>51</v>
      </c>
      <c r="E4479" t="s">
        <v>26</v>
      </c>
      <c r="F4479" t="s">
        <v>17</v>
      </c>
      <c r="G4479" t="str">
        <f>"33"</f>
        <v>33</v>
      </c>
      <c r="H4479" t="str">
        <f>"7  "</f>
        <v xml:space="preserve">7  </v>
      </c>
      <c r="I4479" t="str">
        <f>"2019/01/02"</f>
        <v>2019/01/02</v>
      </c>
      <c r="J4479" t="str">
        <f>"502"</f>
        <v>502</v>
      </c>
      <c r="K4479" t="s">
        <v>18</v>
      </c>
      <c r="L4479" t="s">
        <v>18</v>
      </c>
      <c r="M4479" t="str">
        <f>"20040601"</f>
        <v>20040601</v>
      </c>
    </row>
    <row r="4480" spans="1:13" x14ac:dyDescent="0.25">
      <c r="A4480" t="str">
        <f>"00257054"</f>
        <v>00257054</v>
      </c>
      <c r="B4480" t="s">
        <v>2122</v>
      </c>
      <c r="C4480" t="s">
        <v>320</v>
      </c>
      <c r="D4480" t="s">
        <v>53</v>
      </c>
      <c r="E4480" t="s">
        <v>26</v>
      </c>
      <c r="F4480" t="s">
        <v>17</v>
      </c>
      <c r="G4480" t="str">
        <f>"33"</f>
        <v>33</v>
      </c>
      <c r="H4480" t="str">
        <f>"3  "</f>
        <v xml:space="preserve">3  </v>
      </c>
      <c r="I4480" t="str">
        <f>"2018/11/26"</f>
        <v>2018/11/26</v>
      </c>
      <c r="J4480" t="str">
        <f>"502"</f>
        <v>502</v>
      </c>
      <c r="K4480" t="str">
        <f>"20360416"</f>
        <v>20360416</v>
      </c>
      <c r="L4480" t="s">
        <v>18</v>
      </c>
      <c r="M4480" t="str">
        <f>"20140408"</f>
        <v>20140408</v>
      </c>
    </row>
    <row r="4481" spans="1:13" x14ac:dyDescent="0.25">
      <c r="A4481" t="str">
        <f>"00417267"</f>
        <v>00417267</v>
      </c>
      <c r="B4481" t="s">
        <v>2122</v>
      </c>
      <c r="C4481" t="s">
        <v>74</v>
      </c>
      <c r="D4481" t="s">
        <v>51</v>
      </c>
      <c r="E4481" t="s">
        <v>26</v>
      </c>
      <c r="F4481" t="s">
        <v>17</v>
      </c>
      <c r="G4481" t="str">
        <f>"33"</f>
        <v>33</v>
      </c>
      <c r="H4481" t="str">
        <f>"7  "</f>
        <v xml:space="preserve">7  </v>
      </c>
      <c r="I4481" t="str">
        <f>"2018/01/19"</f>
        <v>2018/01/19</v>
      </c>
      <c r="J4481" t="str">
        <f>"502"</f>
        <v>502</v>
      </c>
      <c r="K4481" t="s">
        <v>18</v>
      </c>
      <c r="L4481" t="s">
        <v>18</v>
      </c>
      <c r="M4481" t="str">
        <f>"20010911"</f>
        <v>20010911</v>
      </c>
    </row>
    <row r="4482" spans="1:13" x14ac:dyDescent="0.25">
      <c r="A4482" t="str">
        <f>"00526201"</f>
        <v>00526201</v>
      </c>
      <c r="B4482" t="s">
        <v>2122</v>
      </c>
      <c r="C4482" t="s">
        <v>1326</v>
      </c>
      <c r="D4482" t="s">
        <v>61</v>
      </c>
      <c r="E4482" t="s">
        <v>16</v>
      </c>
      <c r="F4482" t="s">
        <v>17</v>
      </c>
      <c r="G4482" t="str">
        <f>"33"</f>
        <v>33</v>
      </c>
      <c r="H4482" t="str">
        <f>"3  "</f>
        <v xml:space="preserve">3  </v>
      </c>
      <c r="I4482" t="str">
        <f>"2018/12/12"</f>
        <v>2018/12/12</v>
      </c>
      <c r="J4482" t="str">
        <f>"502"</f>
        <v>502</v>
      </c>
      <c r="K4482" t="str">
        <f>"20270107"</f>
        <v>20270107</v>
      </c>
      <c r="L4482" t="s">
        <v>18</v>
      </c>
      <c r="M4482" t="str">
        <f>"20080518"</f>
        <v>20080518</v>
      </c>
    </row>
    <row r="4483" spans="1:13" x14ac:dyDescent="0.25">
      <c r="A4483" t="str">
        <f>"00263592"</f>
        <v>00263592</v>
      </c>
      <c r="B4483" t="s">
        <v>2122</v>
      </c>
      <c r="C4483" t="s">
        <v>663</v>
      </c>
      <c r="D4483" t="s">
        <v>15</v>
      </c>
      <c r="E4483" t="s">
        <v>26</v>
      </c>
      <c r="F4483" t="s">
        <v>17</v>
      </c>
      <c r="G4483" t="str">
        <f>"33"</f>
        <v>33</v>
      </c>
      <c r="H4483" t="str">
        <f>"3  "</f>
        <v xml:space="preserve">3  </v>
      </c>
      <c r="I4483" t="str">
        <f>"2019/01/23"</f>
        <v>2019/01/23</v>
      </c>
      <c r="J4483" t="str">
        <f>"502"</f>
        <v>502</v>
      </c>
      <c r="K4483" t="str">
        <f>"20421110"</f>
        <v>20421110</v>
      </c>
      <c r="L4483" t="s">
        <v>18</v>
      </c>
      <c r="M4483" t="str">
        <f>"20100101"</f>
        <v>20100101</v>
      </c>
    </row>
    <row r="4484" spans="1:13" x14ac:dyDescent="0.25">
      <c r="A4484" t="str">
        <f>"00212016"</f>
        <v>00212016</v>
      </c>
      <c r="B4484" t="s">
        <v>2215</v>
      </c>
      <c r="C4484" t="s">
        <v>333</v>
      </c>
      <c r="D4484" t="s">
        <v>15</v>
      </c>
      <c r="E4484" t="s">
        <v>16</v>
      </c>
      <c r="F4484" t="s">
        <v>17</v>
      </c>
      <c r="G4484" t="str">
        <f>"33"</f>
        <v>33</v>
      </c>
      <c r="H4484" t="str">
        <f>"3  "</f>
        <v xml:space="preserve">3  </v>
      </c>
      <c r="I4484" t="str">
        <f>"2018/11/26"</f>
        <v>2018/11/26</v>
      </c>
      <c r="J4484" t="str">
        <f>"502"</f>
        <v>502</v>
      </c>
      <c r="K4484" t="str">
        <f>"20320505"</f>
        <v>20320505</v>
      </c>
      <c r="L4484" t="s">
        <v>18</v>
      </c>
      <c r="M4484" t="str">
        <f>"20100326"</f>
        <v>20100326</v>
      </c>
    </row>
    <row r="4485" spans="1:13" x14ac:dyDescent="0.25">
      <c r="A4485" t="str">
        <f>"00348124"</f>
        <v>00348124</v>
      </c>
      <c r="B4485" t="s">
        <v>2234</v>
      </c>
      <c r="C4485" t="s">
        <v>74</v>
      </c>
      <c r="D4485" t="s">
        <v>15</v>
      </c>
      <c r="E4485" t="s">
        <v>16</v>
      </c>
      <c r="F4485" t="s">
        <v>17</v>
      </c>
      <c r="G4485" t="str">
        <f>"33"</f>
        <v>33</v>
      </c>
      <c r="H4485" t="str">
        <f>"3  "</f>
        <v xml:space="preserve">3  </v>
      </c>
      <c r="I4485" t="str">
        <f>"2017/11/03"</f>
        <v>2017/11/03</v>
      </c>
      <c r="J4485" t="str">
        <f>"502"</f>
        <v>502</v>
      </c>
      <c r="K4485" t="str">
        <f>"20441207"</f>
        <v>20441207</v>
      </c>
      <c r="L4485" t="s">
        <v>18</v>
      </c>
      <c r="M4485" t="str">
        <f>"20020314"</f>
        <v>20020314</v>
      </c>
    </row>
    <row r="4486" spans="1:13" x14ac:dyDescent="0.25">
      <c r="A4486" t="str">
        <f>"00563898"</f>
        <v>00563898</v>
      </c>
      <c r="B4486" t="s">
        <v>2293</v>
      </c>
      <c r="C4486" t="s">
        <v>122</v>
      </c>
      <c r="D4486" t="s">
        <v>51</v>
      </c>
      <c r="E4486" t="s">
        <v>16</v>
      </c>
      <c r="F4486" t="s">
        <v>17</v>
      </c>
      <c r="G4486" t="str">
        <f>"33"</f>
        <v>33</v>
      </c>
      <c r="H4486" t="str">
        <f>"3  "</f>
        <v xml:space="preserve">3  </v>
      </c>
      <c r="I4486" t="str">
        <f>"2019/01/29"</f>
        <v>2019/01/29</v>
      </c>
      <c r="J4486" t="str">
        <f>"502"</f>
        <v>502</v>
      </c>
      <c r="K4486" t="str">
        <f>"20410926"</f>
        <v>20410926</v>
      </c>
      <c r="L4486" t="s">
        <v>18</v>
      </c>
      <c r="M4486" t="str">
        <f>"20110119"</f>
        <v>20110119</v>
      </c>
    </row>
    <row r="4487" spans="1:13" x14ac:dyDescent="0.25">
      <c r="A4487" t="str">
        <f>"00554859"</f>
        <v>00554859</v>
      </c>
      <c r="B4487" t="s">
        <v>2299</v>
      </c>
      <c r="C4487" t="s">
        <v>1062</v>
      </c>
      <c r="D4487" t="s">
        <v>73</v>
      </c>
      <c r="E4487" t="s">
        <v>26</v>
      </c>
      <c r="F4487" t="s">
        <v>17</v>
      </c>
      <c r="G4487" t="str">
        <f>"33"</f>
        <v>33</v>
      </c>
      <c r="H4487" t="str">
        <f>"3  "</f>
        <v xml:space="preserve">3  </v>
      </c>
      <c r="I4487" t="str">
        <f>"2019/01/02"</f>
        <v>2019/01/02</v>
      </c>
      <c r="J4487" t="str">
        <f>"502"</f>
        <v>502</v>
      </c>
      <c r="K4487" t="str">
        <f>"20460117"</f>
        <v>20460117</v>
      </c>
      <c r="L4487" t="s">
        <v>18</v>
      </c>
      <c r="M4487" t="str">
        <f>"20140715"</f>
        <v>20140715</v>
      </c>
    </row>
    <row r="4488" spans="1:13" x14ac:dyDescent="0.25">
      <c r="A4488" t="str">
        <f>"00644379"</f>
        <v>00644379</v>
      </c>
      <c r="B4488" t="s">
        <v>2303</v>
      </c>
      <c r="C4488" t="s">
        <v>2305</v>
      </c>
      <c r="D4488" t="s">
        <v>25</v>
      </c>
      <c r="E4488" t="s">
        <v>26</v>
      </c>
      <c r="F4488" t="s">
        <v>17</v>
      </c>
      <c r="G4488" t="str">
        <f>"33"</f>
        <v>33</v>
      </c>
      <c r="H4488" t="str">
        <f>"3  "</f>
        <v xml:space="preserve">3  </v>
      </c>
      <c r="I4488" t="str">
        <f>"2019/01/17"</f>
        <v>2019/01/17</v>
      </c>
      <c r="J4488" t="str">
        <f>"503"</f>
        <v>503</v>
      </c>
      <c r="K4488" t="str">
        <f>"20340313"</f>
        <v>20340313</v>
      </c>
      <c r="L4488" t="s">
        <v>18</v>
      </c>
      <c r="M4488" t="str">
        <f>"20121031"</f>
        <v>20121031</v>
      </c>
    </row>
    <row r="4489" spans="1:13" x14ac:dyDescent="0.25">
      <c r="A4489" t="str">
        <f>"00277847"</f>
        <v>00277847</v>
      </c>
      <c r="B4489" t="s">
        <v>2315</v>
      </c>
      <c r="C4489" t="s">
        <v>2316</v>
      </c>
      <c r="D4489" t="s">
        <v>40</v>
      </c>
      <c r="E4489" t="s">
        <v>26</v>
      </c>
      <c r="F4489" t="s">
        <v>17</v>
      </c>
      <c r="G4489" t="str">
        <f>"33"</f>
        <v>33</v>
      </c>
      <c r="H4489" t="str">
        <f>"3  "</f>
        <v xml:space="preserve">3  </v>
      </c>
      <c r="I4489" t="str">
        <f>"2013/01/24"</f>
        <v>2013/01/24</v>
      </c>
      <c r="J4489" t="str">
        <f>"502"</f>
        <v>502</v>
      </c>
      <c r="K4489" t="str">
        <f>"20240206"</f>
        <v>20240206</v>
      </c>
      <c r="L4489" t="s">
        <v>18</v>
      </c>
      <c r="M4489" t="str">
        <f>"20010104"</f>
        <v>20010104</v>
      </c>
    </row>
    <row r="4490" spans="1:13" x14ac:dyDescent="0.25">
      <c r="A4490" t="str">
        <f>"00680022"</f>
        <v>00680022</v>
      </c>
      <c r="B4490" t="s">
        <v>2334</v>
      </c>
      <c r="C4490" t="s">
        <v>2335</v>
      </c>
      <c r="D4490" t="s">
        <v>31</v>
      </c>
      <c r="E4490" t="s">
        <v>16</v>
      </c>
      <c r="F4490" t="s">
        <v>17</v>
      </c>
      <c r="G4490" t="str">
        <f>"33"</f>
        <v>33</v>
      </c>
      <c r="H4490" t="str">
        <f>"3  "</f>
        <v xml:space="preserve">3  </v>
      </c>
      <c r="I4490" t="str">
        <f>"2019/01/17"</f>
        <v>2019/01/17</v>
      </c>
      <c r="J4490" t="str">
        <f>"503"</f>
        <v>503</v>
      </c>
      <c r="K4490" t="str">
        <f>"20330317"</f>
        <v>20330317</v>
      </c>
      <c r="L4490" t="s">
        <v>18</v>
      </c>
      <c r="M4490" t="str">
        <f>"20170324"</f>
        <v>20170324</v>
      </c>
    </row>
    <row r="4491" spans="1:13" x14ac:dyDescent="0.25">
      <c r="A4491" t="str">
        <f>"00262579"</f>
        <v>00262579</v>
      </c>
      <c r="B4491" t="s">
        <v>2360</v>
      </c>
      <c r="C4491" t="s">
        <v>140</v>
      </c>
      <c r="D4491" t="s">
        <v>21</v>
      </c>
      <c r="E4491" t="s">
        <v>26</v>
      </c>
      <c r="F4491" t="s">
        <v>17</v>
      </c>
      <c r="G4491" t="str">
        <f>"33"</f>
        <v>33</v>
      </c>
      <c r="H4491" t="str">
        <f>"7  "</f>
        <v xml:space="preserve">7  </v>
      </c>
      <c r="I4491" t="str">
        <f>"1992/09/02"</f>
        <v>1992/09/02</v>
      </c>
      <c r="J4491" t="str">
        <f>"502"</f>
        <v>502</v>
      </c>
      <c r="K4491" t="s">
        <v>18</v>
      </c>
      <c r="L4491" t="s">
        <v>18</v>
      </c>
      <c r="M4491" t="str">
        <f>"19901212"</f>
        <v>19901212</v>
      </c>
    </row>
    <row r="4492" spans="1:13" x14ac:dyDescent="0.25">
      <c r="A4492" t="str">
        <f>"00392226"</f>
        <v>00392226</v>
      </c>
      <c r="B4492" t="s">
        <v>2362</v>
      </c>
      <c r="C4492" t="s">
        <v>671</v>
      </c>
      <c r="D4492" t="s">
        <v>80</v>
      </c>
      <c r="E4492" t="s">
        <v>16</v>
      </c>
      <c r="F4492" t="s">
        <v>17</v>
      </c>
      <c r="G4492" t="str">
        <f>"33"</f>
        <v>33</v>
      </c>
      <c r="H4492" t="str">
        <f>"3  "</f>
        <v xml:space="preserve">3  </v>
      </c>
      <c r="I4492" t="str">
        <f>"2018/11/14"</f>
        <v>2018/11/14</v>
      </c>
      <c r="J4492" t="str">
        <f>"502"</f>
        <v>502</v>
      </c>
      <c r="K4492" t="str">
        <f>"20380821"</f>
        <v>20380821</v>
      </c>
      <c r="L4492" t="s">
        <v>18</v>
      </c>
      <c r="M4492" t="str">
        <f>"20110906"</f>
        <v>20110906</v>
      </c>
    </row>
    <row r="4493" spans="1:13" x14ac:dyDescent="0.25">
      <c r="A4493" t="str">
        <f>"00285421"</f>
        <v>00285421</v>
      </c>
      <c r="B4493" t="s">
        <v>2365</v>
      </c>
      <c r="C4493" t="s">
        <v>2366</v>
      </c>
      <c r="D4493" t="s">
        <v>25</v>
      </c>
      <c r="E4493" t="s">
        <v>16</v>
      </c>
      <c r="F4493" t="s">
        <v>17</v>
      </c>
      <c r="G4493" t="str">
        <f>"33"</f>
        <v>33</v>
      </c>
      <c r="H4493" t="str">
        <f>"3  "</f>
        <v xml:space="preserve">3  </v>
      </c>
      <c r="I4493" t="str">
        <f>"2017/03/04"</f>
        <v>2017/03/04</v>
      </c>
      <c r="J4493" t="str">
        <f>"502"</f>
        <v>502</v>
      </c>
      <c r="K4493" t="str">
        <f>"20350614"</f>
        <v>20350614</v>
      </c>
      <c r="L4493" t="s">
        <v>18</v>
      </c>
      <c r="M4493" t="str">
        <f>"20050930"</f>
        <v>20050930</v>
      </c>
    </row>
    <row r="4494" spans="1:13" x14ac:dyDescent="0.25">
      <c r="A4494" t="str">
        <f>"00218239"</f>
        <v>00218239</v>
      </c>
      <c r="B4494" t="s">
        <v>2375</v>
      </c>
      <c r="C4494" t="s">
        <v>96</v>
      </c>
      <c r="D4494" t="s">
        <v>47</v>
      </c>
      <c r="E4494" t="s">
        <v>16</v>
      </c>
      <c r="F4494" t="s">
        <v>17</v>
      </c>
      <c r="G4494" t="str">
        <f>"33"</f>
        <v>33</v>
      </c>
      <c r="H4494" t="str">
        <f>"3  "</f>
        <v xml:space="preserve">3  </v>
      </c>
      <c r="I4494" t="str">
        <f>"2018/12/12"</f>
        <v>2018/12/12</v>
      </c>
      <c r="J4494" t="str">
        <f>"502"</f>
        <v>502</v>
      </c>
      <c r="K4494" t="str">
        <f>"20330128"</f>
        <v>20330128</v>
      </c>
      <c r="L4494" t="s">
        <v>18</v>
      </c>
      <c r="M4494" t="str">
        <f>"20130621"</f>
        <v>20130621</v>
      </c>
    </row>
    <row r="4495" spans="1:13" x14ac:dyDescent="0.25">
      <c r="A4495" t="str">
        <f>"00565603"</f>
        <v>00565603</v>
      </c>
      <c r="B4495" t="s">
        <v>2385</v>
      </c>
      <c r="C4495" t="s">
        <v>398</v>
      </c>
      <c r="D4495" t="s">
        <v>182</v>
      </c>
      <c r="E4495" t="s">
        <v>26</v>
      </c>
      <c r="F4495" t="s">
        <v>17</v>
      </c>
      <c r="G4495" t="str">
        <f>"33"</f>
        <v>33</v>
      </c>
      <c r="H4495" t="str">
        <f>"3  "</f>
        <v xml:space="preserve">3  </v>
      </c>
      <c r="I4495" t="str">
        <f>"2018/11/20"</f>
        <v>2018/11/20</v>
      </c>
      <c r="J4495" t="str">
        <f>"502"</f>
        <v>502</v>
      </c>
      <c r="K4495" t="str">
        <f>"20320910"</f>
        <v>20320910</v>
      </c>
      <c r="L4495" t="s">
        <v>18</v>
      </c>
      <c r="M4495" t="str">
        <f>"20100802"</f>
        <v>20100802</v>
      </c>
    </row>
    <row r="4496" spans="1:13" x14ac:dyDescent="0.25">
      <c r="A4496" t="str">
        <f>"00229184"</f>
        <v>00229184</v>
      </c>
      <c r="B4496" t="s">
        <v>2385</v>
      </c>
      <c r="C4496" t="s">
        <v>125</v>
      </c>
      <c r="D4496" t="s">
        <v>61</v>
      </c>
      <c r="E4496" t="s">
        <v>26</v>
      </c>
      <c r="F4496" t="s">
        <v>17</v>
      </c>
      <c r="G4496" t="str">
        <f>"33"</f>
        <v>33</v>
      </c>
      <c r="H4496" t="str">
        <f>"3  "</f>
        <v xml:space="preserve">3  </v>
      </c>
      <c r="I4496" t="str">
        <f>"2018/11/20"</f>
        <v>2018/11/20</v>
      </c>
      <c r="J4496" t="str">
        <f>"502"</f>
        <v>502</v>
      </c>
      <c r="K4496" t="str">
        <f>"20300227"</f>
        <v>20300227</v>
      </c>
      <c r="L4496" t="s">
        <v>18</v>
      </c>
      <c r="M4496" t="str">
        <f>"19970624"</f>
        <v>19970624</v>
      </c>
    </row>
    <row r="4497" spans="1:13" x14ac:dyDescent="0.25">
      <c r="A4497" t="str">
        <f>"00214636"</f>
        <v>00214636</v>
      </c>
      <c r="B4497" t="s">
        <v>2394</v>
      </c>
      <c r="C4497" t="s">
        <v>2395</v>
      </c>
      <c r="D4497" t="s">
        <v>51</v>
      </c>
      <c r="E4497" t="s">
        <v>16</v>
      </c>
      <c r="F4497" t="s">
        <v>34</v>
      </c>
      <c r="G4497" t="str">
        <f>"33"</f>
        <v>33</v>
      </c>
      <c r="H4497" t="str">
        <f>"7  "</f>
        <v xml:space="preserve">7  </v>
      </c>
      <c r="I4497" t="str">
        <f>"1991/06/17"</f>
        <v>1991/06/17</v>
      </c>
      <c r="J4497" t="str">
        <f>"501"</f>
        <v>501</v>
      </c>
      <c r="K4497" t="s">
        <v>18</v>
      </c>
      <c r="L4497" t="s">
        <v>18</v>
      </c>
      <c r="M4497" t="str">
        <f>"19880107"</f>
        <v>19880107</v>
      </c>
    </row>
    <row r="4498" spans="1:13" x14ac:dyDescent="0.25">
      <c r="A4498" t="str">
        <f>"00549434"</f>
        <v>00549434</v>
      </c>
      <c r="B4498" t="s">
        <v>2436</v>
      </c>
      <c r="C4498" t="s">
        <v>288</v>
      </c>
      <c r="D4498" t="s">
        <v>456</v>
      </c>
      <c r="E4498" t="s">
        <v>26</v>
      </c>
      <c r="F4498" t="s">
        <v>17</v>
      </c>
      <c r="G4498" t="str">
        <f>"33"</f>
        <v>33</v>
      </c>
      <c r="H4498" t="str">
        <f>"3  "</f>
        <v xml:space="preserve">3  </v>
      </c>
      <c r="I4498" t="str">
        <f>"2018/11/14"</f>
        <v>2018/11/14</v>
      </c>
      <c r="J4498" t="str">
        <f>"502"</f>
        <v>502</v>
      </c>
      <c r="K4498" t="str">
        <f>"20290314"</f>
        <v>20290314</v>
      </c>
      <c r="L4498" t="s">
        <v>18</v>
      </c>
      <c r="M4498" t="str">
        <f>"20150906"</f>
        <v>20150906</v>
      </c>
    </row>
    <row r="4499" spans="1:13" x14ac:dyDescent="0.25">
      <c r="A4499" t="str">
        <f>"00506146"</f>
        <v>00506146</v>
      </c>
      <c r="B4499" t="s">
        <v>2476</v>
      </c>
      <c r="C4499" t="s">
        <v>650</v>
      </c>
      <c r="D4499" t="s">
        <v>25</v>
      </c>
      <c r="E4499" t="s">
        <v>26</v>
      </c>
      <c r="F4499" t="s">
        <v>17</v>
      </c>
      <c r="G4499" t="str">
        <f>"33"</f>
        <v>33</v>
      </c>
      <c r="H4499" t="str">
        <f>"3  "</f>
        <v xml:space="preserve">3  </v>
      </c>
      <c r="I4499" t="str">
        <f>"2018/11/07"</f>
        <v>2018/11/07</v>
      </c>
      <c r="J4499" t="str">
        <f>"502"</f>
        <v>502</v>
      </c>
      <c r="K4499" t="str">
        <f>"20290701"</f>
        <v>20290701</v>
      </c>
      <c r="L4499" t="s">
        <v>18</v>
      </c>
      <c r="M4499" t="str">
        <f>"20080118"</f>
        <v>20080118</v>
      </c>
    </row>
    <row r="4500" spans="1:13" x14ac:dyDescent="0.25">
      <c r="A4500" t="str">
        <f>"00492275"</f>
        <v>00492275</v>
      </c>
      <c r="B4500" t="s">
        <v>2485</v>
      </c>
      <c r="C4500" t="s">
        <v>2486</v>
      </c>
      <c r="D4500" t="s">
        <v>25</v>
      </c>
      <c r="E4500" t="s">
        <v>26</v>
      </c>
      <c r="F4500" t="s">
        <v>17</v>
      </c>
      <c r="G4500" t="str">
        <f>"33"</f>
        <v>33</v>
      </c>
      <c r="H4500" t="str">
        <f>"3  "</f>
        <v xml:space="preserve">3  </v>
      </c>
      <c r="I4500" t="str">
        <f>"2019/04/03"</f>
        <v>2019/04/03</v>
      </c>
      <c r="J4500" t="str">
        <f>"503"</f>
        <v>503</v>
      </c>
      <c r="K4500" t="str">
        <f>"20270228"</f>
        <v>20270228</v>
      </c>
      <c r="L4500" t="s">
        <v>18</v>
      </c>
      <c r="M4500" t="str">
        <f>"20130814"</f>
        <v>20130814</v>
      </c>
    </row>
    <row r="4501" spans="1:13" x14ac:dyDescent="0.25">
      <c r="A4501" t="str">
        <f>"00094344"</f>
        <v>00094344</v>
      </c>
      <c r="B4501" t="s">
        <v>2584</v>
      </c>
      <c r="C4501" t="s">
        <v>2585</v>
      </c>
      <c r="D4501" t="s">
        <v>25</v>
      </c>
      <c r="E4501" t="s">
        <v>26</v>
      </c>
      <c r="F4501" t="s">
        <v>17</v>
      </c>
      <c r="G4501" t="str">
        <f>"33"</f>
        <v>33</v>
      </c>
      <c r="H4501" t="str">
        <f>"7  "</f>
        <v xml:space="preserve">7  </v>
      </c>
      <c r="I4501" t="str">
        <f>"1978/10/19"</f>
        <v>1978/10/19</v>
      </c>
      <c r="J4501" t="str">
        <f>"994"</f>
        <v>994</v>
      </c>
      <c r="K4501" t="s">
        <v>18</v>
      </c>
      <c r="L4501" t="str">
        <f>"21230710"</f>
        <v>21230710</v>
      </c>
      <c r="M4501" t="str">
        <f>"19690203"</f>
        <v>19690203</v>
      </c>
    </row>
    <row r="4502" spans="1:13" x14ac:dyDescent="0.25">
      <c r="A4502" t="str">
        <f>"00240046"</f>
        <v>00240046</v>
      </c>
      <c r="B4502" t="s">
        <v>2594</v>
      </c>
      <c r="C4502" t="s">
        <v>333</v>
      </c>
      <c r="D4502" t="s">
        <v>61</v>
      </c>
      <c r="E4502" t="s">
        <v>16</v>
      </c>
      <c r="F4502" t="s">
        <v>17</v>
      </c>
      <c r="G4502" t="str">
        <f>"33"</f>
        <v>33</v>
      </c>
      <c r="H4502" t="str">
        <f>"3  "</f>
        <v xml:space="preserve">3  </v>
      </c>
      <c r="I4502" t="str">
        <f>"2017/11/03"</f>
        <v>2017/11/03</v>
      </c>
      <c r="J4502" t="str">
        <f>"502"</f>
        <v>502</v>
      </c>
      <c r="K4502" t="str">
        <f>"21010115"</f>
        <v>21010115</v>
      </c>
      <c r="L4502" t="s">
        <v>18</v>
      </c>
      <c r="M4502" t="str">
        <f>"20110427"</f>
        <v>20110427</v>
      </c>
    </row>
    <row r="4503" spans="1:13" x14ac:dyDescent="0.25">
      <c r="A4503" t="str">
        <f>"00605431"</f>
        <v>00605431</v>
      </c>
      <c r="B4503" t="s">
        <v>2597</v>
      </c>
      <c r="C4503" t="s">
        <v>1084</v>
      </c>
      <c r="D4503" t="s">
        <v>51</v>
      </c>
      <c r="E4503" t="s">
        <v>26</v>
      </c>
      <c r="F4503" t="s">
        <v>17</v>
      </c>
      <c r="G4503" t="str">
        <f>"33"</f>
        <v>33</v>
      </c>
      <c r="H4503" t="str">
        <f>"3  "</f>
        <v xml:space="preserve">3  </v>
      </c>
      <c r="I4503" t="str">
        <f>"2018/11/07"</f>
        <v>2018/11/07</v>
      </c>
      <c r="J4503" t="str">
        <f>"502"</f>
        <v>502</v>
      </c>
      <c r="K4503" t="str">
        <f>"20241121"</f>
        <v>20241121</v>
      </c>
      <c r="L4503" t="s">
        <v>18</v>
      </c>
      <c r="M4503" t="str">
        <f>"20150226"</f>
        <v>20150226</v>
      </c>
    </row>
    <row r="4504" spans="1:13" x14ac:dyDescent="0.25">
      <c r="A4504" t="str">
        <f>"00586987"</f>
        <v>00586987</v>
      </c>
      <c r="B4504" t="s">
        <v>2604</v>
      </c>
      <c r="C4504" t="s">
        <v>2605</v>
      </c>
      <c r="D4504" t="s">
        <v>215</v>
      </c>
      <c r="E4504" t="s">
        <v>26</v>
      </c>
      <c r="F4504" t="s">
        <v>17</v>
      </c>
      <c r="G4504" t="str">
        <f>"33"</f>
        <v>33</v>
      </c>
      <c r="H4504" t="str">
        <f>"3  "</f>
        <v xml:space="preserve">3  </v>
      </c>
      <c r="I4504" t="str">
        <f>"2018/11/07"</f>
        <v>2018/11/07</v>
      </c>
      <c r="J4504" t="str">
        <f>"502"</f>
        <v>502</v>
      </c>
      <c r="K4504" t="str">
        <f>"20370624"</f>
        <v>20370624</v>
      </c>
      <c r="L4504" t="s">
        <v>18</v>
      </c>
      <c r="M4504" t="str">
        <f>"20150127"</f>
        <v>20150127</v>
      </c>
    </row>
    <row r="4505" spans="1:13" x14ac:dyDescent="0.25">
      <c r="A4505" t="str">
        <f>"00544425"</f>
        <v>00544425</v>
      </c>
      <c r="B4505" t="s">
        <v>2639</v>
      </c>
      <c r="C4505" t="s">
        <v>136</v>
      </c>
      <c r="D4505" t="s">
        <v>15</v>
      </c>
      <c r="E4505" t="s">
        <v>26</v>
      </c>
      <c r="F4505" t="s">
        <v>17</v>
      </c>
      <c r="G4505" t="str">
        <f>"33"</f>
        <v>33</v>
      </c>
      <c r="H4505" t="str">
        <f>"3  "</f>
        <v xml:space="preserve">3  </v>
      </c>
      <c r="I4505" t="str">
        <f>"2018/12/04"</f>
        <v>2018/12/04</v>
      </c>
      <c r="J4505" t="str">
        <f>"502"</f>
        <v>502</v>
      </c>
      <c r="K4505" t="str">
        <f>"21230716"</f>
        <v>21230716</v>
      </c>
      <c r="L4505" t="s">
        <v>18</v>
      </c>
      <c r="M4505" t="str">
        <f>"20090305"</f>
        <v>20090305</v>
      </c>
    </row>
    <row r="4506" spans="1:13" x14ac:dyDescent="0.25">
      <c r="A4506" t="str">
        <f>"00630903"</f>
        <v>00630903</v>
      </c>
      <c r="B4506" t="s">
        <v>2647</v>
      </c>
      <c r="C4506" t="s">
        <v>249</v>
      </c>
      <c r="D4506" t="s">
        <v>51</v>
      </c>
      <c r="E4506" t="s">
        <v>26</v>
      </c>
      <c r="F4506" t="s">
        <v>17</v>
      </c>
      <c r="G4506" t="str">
        <f>"33"</f>
        <v>33</v>
      </c>
      <c r="H4506" t="str">
        <f>"3  "</f>
        <v xml:space="preserve">3  </v>
      </c>
      <c r="I4506" t="str">
        <f>"2019/06/28"</f>
        <v>2019/06/28</v>
      </c>
      <c r="J4506" t="str">
        <f>"503"</f>
        <v>503</v>
      </c>
      <c r="K4506" t="str">
        <f>"20240509"</f>
        <v>20240509</v>
      </c>
      <c r="L4506" t="s">
        <v>18</v>
      </c>
      <c r="M4506" t="str">
        <f>"20070404"</f>
        <v>20070404</v>
      </c>
    </row>
    <row r="4507" spans="1:13" x14ac:dyDescent="0.25">
      <c r="A4507" t="str">
        <f>"00330520"</f>
        <v>00330520</v>
      </c>
      <c r="B4507" t="s">
        <v>2651</v>
      </c>
      <c r="C4507" t="s">
        <v>154</v>
      </c>
      <c r="D4507" t="s">
        <v>25</v>
      </c>
      <c r="E4507" t="s">
        <v>26</v>
      </c>
      <c r="F4507" t="s">
        <v>17</v>
      </c>
      <c r="G4507" t="str">
        <f>"33"</f>
        <v>33</v>
      </c>
      <c r="H4507" t="str">
        <f>"3  "</f>
        <v xml:space="preserve">3  </v>
      </c>
      <c r="I4507" t="str">
        <f>"2018/11/07"</f>
        <v>2018/11/07</v>
      </c>
      <c r="J4507" t="str">
        <f>"502"</f>
        <v>502</v>
      </c>
      <c r="K4507" t="str">
        <f>"20320805"</f>
        <v>20320805</v>
      </c>
      <c r="L4507" t="s">
        <v>18</v>
      </c>
      <c r="M4507" t="str">
        <f>"20141030"</f>
        <v>20141030</v>
      </c>
    </row>
    <row r="4508" spans="1:13" x14ac:dyDescent="0.25">
      <c r="A4508" t="str">
        <f>"00554809"</f>
        <v>00554809</v>
      </c>
      <c r="B4508" t="s">
        <v>2651</v>
      </c>
      <c r="C4508" t="s">
        <v>353</v>
      </c>
      <c r="D4508" t="s">
        <v>61</v>
      </c>
      <c r="E4508" t="s">
        <v>26</v>
      </c>
      <c r="F4508" t="s">
        <v>17</v>
      </c>
      <c r="G4508" t="str">
        <f>"33"</f>
        <v>33</v>
      </c>
      <c r="H4508" t="str">
        <f>"3  "</f>
        <v xml:space="preserve">3  </v>
      </c>
      <c r="I4508" t="str">
        <f>"2019/04/16"</f>
        <v>2019/04/16</v>
      </c>
      <c r="J4508" t="str">
        <f>"502"</f>
        <v>502</v>
      </c>
      <c r="K4508" t="str">
        <f>"20250423"</f>
        <v>20250423</v>
      </c>
      <c r="L4508" t="s">
        <v>18</v>
      </c>
      <c r="M4508" t="str">
        <f>"20110401"</f>
        <v>20110401</v>
      </c>
    </row>
    <row r="4509" spans="1:13" x14ac:dyDescent="0.25">
      <c r="A4509" t="str">
        <f>"00192524"</f>
        <v>00192524</v>
      </c>
      <c r="B4509" t="s">
        <v>2659</v>
      </c>
      <c r="C4509" t="s">
        <v>2660</v>
      </c>
      <c r="D4509" t="s">
        <v>40</v>
      </c>
      <c r="E4509" t="s">
        <v>26</v>
      </c>
      <c r="F4509" t="s">
        <v>17</v>
      </c>
      <c r="G4509" t="str">
        <f>"33"</f>
        <v>33</v>
      </c>
      <c r="H4509" t="str">
        <f>"7  "</f>
        <v xml:space="preserve">7  </v>
      </c>
      <c r="I4509" t="str">
        <f>"2019/01/02"</f>
        <v>2019/01/02</v>
      </c>
      <c r="J4509" t="str">
        <f>"502"</f>
        <v>502</v>
      </c>
      <c r="K4509" t="s">
        <v>18</v>
      </c>
      <c r="L4509" t="s">
        <v>18</v>
      </c>
      <c r="M4509" t="str">
        <f>"19980225"</f>
        <v>19980225</v>
      </c>
    </row>
    <row r="4510" spans="1:13" x14ac:dyDescent="0.25">
      <c r="A4510" t="str">
        <f>"00628429"</f>
        <v>00628429</v>
      </c>
      <c r="B4510" t="s">
        <v>2674</v>
      </c>
      <c r="C4510" t="s">
        <v>2677</v>
      </c>
      <c r="D4510" t="s">
        <v>25</v>
      </c>
      <c r="E4510" t="s">
        <v>26</v>
      </c>
      <c r="F4510" t="s">
        <v>17</v>
      </c>
      <c r="G4510" t="str">
        <f>"33"</f>
        <v>33</v>
      </c>
      <c r="H4510" t="str">
        <f>"3  "</f>
        <v xml:space="preserve">3  </v>
      </c>
      <c r="I4510" t="str">
        <f>"2018/11/26"</f>
        <v>2018/11/26</v>
      </c>
      <c r="J4510" t="str">
        <f>"502"</f>
        <v>502</v>
      </c>
      <c r="K4510" t="str">
        <f>"20470120"</f>
        <v>20470120</v>
      </c>
      <c r="L4510" t="s">
        <v>18</v>
      </c>
      <c r="M4510" t="str">
        <f>"20150730"</f>
        <v>20150730</v>
      </c>
    </row>
    <row r="4511" spans="1:13" x14ac:dyDescent="0.25">
      <c r="A4511" t="str">
        <f>"00608765"</f>
        <v>00608765</v>
      </c>
      <c r="B4511" t="s">
        <v>2680</v>
      </c>
      <c r="C4511" t="s">
        <v>2681</v>
      </c>
      <c r="D4511" t="s">
        <v>61</v>
      </c>
      <c r="E4511" t="s">
        <v>16</v>
      </c>
      <c r="F4511" t="s">
        <v>17</v>
      </c>
      <c r="G4511" t="str">
        <f>"33"</f>
        <v>33</v>
      </c>
      <c r="H4511" t="str">
        <f>"3  "</f>
        <v xml:space="preserve">3  </v>
      </c>
      <c r="I4511" t="str">
        <f>"2018/12/18"</f>
        <v>2018/12/18</v>
      </c>
      <c r="J4511" t="str">
        <f>"502"</f>
        <v>502</v>
      </c>
      <c r="K4511" t="str">
        <f>"20330513"</f>
        <v>20330513</v>
      </c>
      <c r="L4511" t="s">
        <v>18</v>
      </c>
      <c r="M4511" t="str">
        <f>"20150701"</f>
        <v>20150701</v>
      </c>
    </row>
    <row r="4512" spans="1:13" x14ac:dyDescent="0.25">
      <c r="A4512" t="str">
        <f>"00400459"</f>
        <v>00400459</v>
      </c>
      <c r="B4512" t="s">
        <v>2695</v>
      </c>
      <c r="C4512" t="s">
        <v>261</v>
      </c>
      <c r="D4512" t="s">
        <v>21</v>
      </c>
      <c r="E4512" t="s">
        <v>26</v>
      </c>
      <c r="F4512" t="s">
        <v>17</v>
      </c>
      <c r="G4512" t="str">
        <f>"33"</f>
        <v>33</v>
      </c>
      <c r="H4512" t="str">
        <f>"3  "</f>
        <v xml:space="preserve">3  </v>
      </c>
      <c r="I4512" t="str">
        <f>"2018/11/07"</f>
        <v>2018/11/07</v>
      </c>
      <c r="J4512" t="str">
        <f>"502"</f>
        <v>502</v>
      </c>
      <c r="K4512" t="str">
        <f>"20300427"</f>
        <v>20300427</v>
      </c>
      <c r="L4512" t="s">
        <v>18</v>
      </c>
      <c r="M4512" t="str">
        <f>"20160810"</f>
        <v>20160810</v>
      </c>
    </row>
    <row r="4513" spans="1:13" x14ac:dyDescent="0.25">
      <c r="A4513" t="str">
        <f>"00176146"</f>
        <v>00176146</v>
      </c>
      <c r="B4513" t="s">
        <v>2721</v>
      </c>
      <c r="C4513" t="s">
        <v>2722</v>
      </c>
      <c r="D4513" t="s">
        <v>25</v>
      </c>
      <c r="E4513" t="s">
        <v>26</v>
      </c>
      <c r="F4513" t="s">
        <v>17</v>
      </c>
      <c r="G4513" t="str">
        <f>"33"</f>
        <v>33</v>
      </c>
      <c r="H4513" t="str">
        <f>"7  "</f>
        <v xml:space="preserve">7  </v>
      </c>
      <c r="I4513" t="str">
        <f>"2017/11/03"</f>
        <v>2017/11/03</v>
      </c>
      <c r="J4513" t="str">
        <f>"502"</f>
        <v>502</v>
      </c>
      <c r="K4513" t="s">
        <v>18</v>
      </c>
      <c r="L4513" t="str">
        <f>"20470507"</f>
        <v>20470507</v>
      </c>
      <c r="M4513" t="str">
        <f>"19871025"</f>
        <v>19871025</v>
      </c>
    </row>
    <row r="4514" spans="1:13" x14ac:dyDescent="0.25">
      <c r="A4514" t="str">
        <f>"00293110"</f>
        <v>00293110</v>
      </c>
      <c r="B4514" t="s">
        <v>2736</v>
      </c>
      <c r="C4514" t="s">
        <v>74</v>
      </c>
      <c r="D4514" t="s">
        <v>31</v>
      </c>
      <c r="E4514" t="s">
        <v>16</v>
      </c>
      <c r="F4514" t="s">
        <v>17</v>
      </c>
      <c r="G4514" t="str">
        <f>"33"</f>
        <v>33</v>
      </c>
      <c r="H4514" t="str">
        <f>"3  "</f>
        <v xml:space="preserve">3  </v>
      </c>
      <c r="I4514" t="str">
        <f>"2019/11/19"</f>
        <v>2019/11/19</v>
      </c>
      <c r="J4514" t="str">
        <f>"503"</f>
        <v>503</v>
      </c>
      <c r="K4514" t="str">
        <f>"20230531"</f>
        <v>20230531</v>
      </c>
      <c r="L4514" t="s">
        <v>18</v>
      </c>
      <c r="M4514" t="str">
        <f>"20160418"</f>
        <v>20160418</v>
      </c>
    </row>
    <row r="4515" spans="1:13" x14ac:dyDescent="0.25">
      <c r="A4515" t="str">
        <f>"00717630"</f>
        <v>00717630</v>
      </c>
      <c r="B4515" t="s">
        <v>2770</v>
      </c>
      <c r="C4515" t="s">
        <v>2771</v>
      </c>
      <c r="D4515" t="s">
        <v>25</v>
      </c>
      <c r="E4515" t="s">
        <v>26</v>
      </c>
      <c r="F4515" t="s">
        <v>17</v>
      </c>
      <c r="G4515" t="str">
        <f>"33"</f>
        <v>33</v>
      </c>
      <c r="H4515" t="str">
        <f>"3  "</f>
        <v xml:space="preserve">3  </v>
      </c>
      <c r="I4515" t="str">
        <f>"2018/11/07"</f>
        <v>2018/11/07</v>
      </c>
      <c r="J4515" t="str">
        <f>"502"</f>
        <v>502</v>
      </c>
      <c r="K4515" t="str">
        <f>"20260131"</f>
        <v>20260131</v>
      </c>
      <c r="L4515" t="s">
        <v>18</v>
      </c>
      <c r="M4515" t="str">
        <f>"20120904"</f>
        <v>20120904</v>
      </c>
    </row>
    <row r="4516" spans="1:13" x14ac:dyDescent="0.25">
      <c r="A4516" t="str">
        <f>"00556559"</f>
        <v>00556559</v>
      </c>
      <c r="B4516" t="s">
        <v>2781</v>
      </c>
      <c r="C4516" t="s">
        <v>2782</v>
      </c>
      <c r="D4516" t="s">
        <v>25</v>
      </c>
      <c r="E4516" t="s">
        <v>26</v>
      </c>
      <c r="F4516" t="s">
        <v>17</v>
      </c>
      <c r="G4516" t="str">
        <f>"33"</f>
        <v>33</v>
      </c>
      <c r="H4516" t="str">
        <f>"7  "</f>
        <v xml:space="preserve">7  </v>
      </c>
      <c r="I4516" t="str">
        <f>"2011/05/19"</f>
        <v>2011/05/19</v>
      </c>
      <c r="J4516" t="str">
        <f>"503"</f>
        <v>503</v>
      </c>
      <c r="K4516" t="s">
        <v>18</v>
      </c>
      <c r="L4516" t="s">
        <v>18</v>
      </c>
      <c r="M4516" t="str">
        <f>"20081114"</f>
        <v>20081114</v>
      </c>
    </row>
    <row r="4517" spans="1:13" x14ac:dyDescent="0.25">
      <c r="A4517" t="str">
        <f>"00301878"</f>
        <v>00301878</v>
      </c>
      <c r="B4517" t="s">
        <v>2788</v>
      </c>
      <c r="C4517" t="s">
        <v>2789</v>
      </c>
      <c r="D4517" t="s">
        <v>51</v>
      </c>
      <c r="E4517" t="s">
        <v>26</v>
      </c>
      <c r="F4517" t="s">
        <v>17</v>
      </c>
      <c r="G4517" t="str">
        <f>"33"</f>
        <v>33</v>
      </c>
      <c r="H4517" t="str">
        <f>"3  "</f>
        <v xml:space="preserve">3  </v>
      </c>
      <c r="I4517" t="str">
        <f>"2018/11/20"</f>
        <v>2018/11/20</v>
      </c>
      <c r="J4517" t="str">
        <f>"502"</f>
        <v>502</v>
      </c>
      <c r="K4517" t="str">
        <f>"20561121"</f>
        <v>20561121</v>
      </c>
      <c r="L4517" t="s">
        <v>18</v>
      </c>
      <c r="M4517" t="str">
        <f>"20120223"</f>
        <v>20120223</v>
      </c>
    </row>
    <row r="4518" spans="1:13" x14ac:dyDescent="0.25">
      <c r="A4518" t="str">
        <f>"00317115"</f>
        <v>00317115</v>
      </c>
      <c r="B4518" t="s">
        <v>2790</v>
      </c>
      <c r="C4518" t="s">
        <v>74</v>
      </c>
      <c r="D4518" t="s">
        <v>182</v>
      </c>
      <c r="E4518" t="s">
        <v>26</v>
      </c>
      <c r="F4518" t="s">
        <v>17</v>
      </c>
      <c r="G4518" t="str">
        <f>"33"</f>
        <v>33</v>
      </c>
      <c r="H4518" t="str">
        <f>"3  "</f>
        <v xml:space="preserve">3  </v>
      </c>
      <c r="I4518" t="str">
        <f>"2018/11/26"</f>
        <v>2018/11/26</v>
      </c>
      <c r="J4518" t="str">
        <f>"502"</f>
        <v>502</v>
      </c>
      <c r="K4518" t="str">
        <f>"20381024"</f>
        <v>20381024</v>
      </c>
      <c r="L4518" t="s">
        <v>18</v>
      </c>
      <c r="M4518" t="str">
        <f>"20160608"</f>
        <v>20160608</v>
      </c>
    </row>
    <row r="4519" spans="1:13" x14ac:dyDescent="0.25">
      <c r="A4519" t="str">
        <f>"00602719"</f>
        <v>00602719</v>
      </c>
      <c r="B4519" t="s">
        <v>2794</v>
      </c>
      <c r="C4519" t="s">
        <v>1196</v>
      </c>
      <c r="D4519" t="s">
        <v>51</v>
      </c>
      <c r="E4519" t="s">
        <v>26</v>
      </c>
      <c r="F4519" t="s">
        <v>17</v>
      </c>
      <c r="G4519" t="str">
        <f>"33"</f>
        <v>33</v>
      </c>
      <c r="H4519" t="str">
        <f>"3  "</f>
        <v xml:space="preserve">3  </v>
      </c>
      <c r="I4519" t="str">
        <f>"2018/12/04"</f>
        <v>2018/12/04</v>
      </c>
      <c r="J4519" t="str">
        <f>"502"</f>
        <v>502</v>
      </c>
      <c r="K4519" t="str">
        <f>"20290127"</f>
        <v>20290127</v>
      </c>
      <c r="L4519" t="s">
        <v>18</v>
      </c>
      <c r="M4519" t="str">
        <f>"20101209"</f>
        <v>20101209</v>
      </c>
    </row>
    <row r="4520" spans="1:13" x14ac:dyDescent="0.25">
      <c r="A4520" t="str">
        <f>"00359179"</f>
        <v>00359179</v>
      </c>
      <c r="B4520" t="s">
        <v>2806</v>
      </c>
      <c r="C4520" t="s">
        <v>647</v>
      </c>
      <c r="D4520" t="s">
        <v>51</v>
      </c>
      <c r="E4520" t="s">
        <v>26</v>
      </c>
      <c r="F4520" t="s">
        <v>17</v>
      </c>
      <c r="G4520" t="str">
        <f>"33"</f>
        <v>33</v>
      </c>
      <c r="H4520" t="str">
        <f>"7  "</f>
        <v xml:space="preserve">7  </v>
      </c>
      <c r="I4520" t="str">
        <f>"2017/09/15"</f>
        <v>2017/09/15</v>
      </c>
      <c r="J4520" t="str">
        <f>"502"</f>
        <v>502</v>
      </c>
      <c r="K4520" t="s">
        <v>18</v>
      </c>
      <c r="L4520" t="s">
        <v>18</v>
      </c>
      <c r="M4520" t="str">
        <f>"20050407"</f>
        <v>20050407</v>
      </c>
    </row>
    <row r="4521" spans="1:13" x14ac:dyDescent="0.25">
      <c r="A4521" t="str">
        <f>"00319299"</f>
        <v>00319299</v>
      </c>
      <c r="B4521" t="s">
        <v>2823</v>
      </c>
      <c r="C4521" t="s">
        <v>308</v>
      </c>
      <c r="D4521" t="s">
        <v>16</v>
      </c>
      <c r="E4521" t="s">
        <v>26</v>
      </c>
      <c r="F4521" t="s">
        <v>17</v>
      </c>
      <c r="G4521" t="str">
        <f>"33"</f>
        <v>33</v>
      </c>
      <c r="H4521" t="str">
        <f>"7  "</f>
        <v xml:space="preserve">7  </v>
      </c>
      <c r="I4521" t="str">
        <f>"2019/01/29"</f>
        <v>2019/01/29</v>
      </c>
      <c r="J4521" t="str">
        <f>"502"</f>
        <v>502</v>
      </c>
      <c r="K4521" t="s">
        <v>18</v>
      </c>
      <c r="L4521" t="s">
        <v>18</v>
      </c>
      <c r="M4521" t="str">
        <f>"20100803"</f>
        <v>20100803</v>
      </c>
    </row>
    <row r="4522" spans="1:13" x14ac:dyDescent="0.25">
      <c r="A4522" t="str">
        <f>"00791214"</f>
        <v>00791214</v>
      </c>
      <c r="B4522" t="s">
        <v>2847</v>
      </c>
      <c r="C4522" t="s">
        <v>225</v>
      </c>
      <c r="D4522" t="s">
        <v>182</v>
      </c>
      <c r="E4522" t="s">
        <v>26</v>
      </c>
      <c r="F4522" t="s">
        <v>17</v>
      </c>
      <c r="G4522" t="str">
        <f>"33"</f>
        <v>33</v>
      </c>
      <c r="H4522" t="str">
        <f>"3  "</f>
        <v xml:space="preserve">3  </v>
      </c>
      <c r="I4522" t="str">
        <f>"2019/01/15"</f>
        <v>2019/01/15</v>
      </c>
      <c r="J4522" t="str">
        <f>"510"</f>
        <v>510</v>
      </c>
      <c r="K4522" t="str">
        <f>"20260417"</f>
        <v>20260417</v>
      </c>
      <c r="L4522" t="s">
        <v>18</v>
      </c>
      <c r="M4522" t="str">
        <f>"20170711"</f>
        <v>20170711</v>
      </c>
    </row>
    <row r="4523" spans="1:13" x14ac:dyDescent="0.25">
      <c r="A4523" t="str">
        <f>"00144533"</f>
        <v>00144533</v>
      </c>
      <c r="B4523" t="s">
        <v>2873</v>
      </c>
      <c r="C4523" t="s">
        <v>118</v>
      </c>
      <c r="D4523" t="s">
        <v>16</v>
      </c>
      <c r="E4523" t="s">
        <v>16</v>
      </c>
      <c r="F4523" t="s">
        <v>17</v>
      </c>
      <c r="G4523" t="str">
        <f>"33"</f>
        <v>33</v>
      </c>
      <c r="H4523" t="str">
        <f>"7  "</f>
        <v xml:space="preserve">7  </v>
      </c>
      <c r="I4523" t="str">
        <f>"2019/01/29"</f>
        <v>2019/01/29</v>
      </c>
      <c r="J4523" t="str">
        <f>"502"</f>
        <v>502</v>
      </c>
      <c r="K4523" t="s">
        <v>18</v>
      </c>
      <c r="L4523" t="s">
        <v>18</v>
      </c>
      <c r="M4523" t="str">
        <f>"20031030"</f>
        <v>20031030</v>
      </c>
    </row>
    <row r="4524" spans="1:13" x14ac:dyDescent="0.25">
      <c r="A4524" t="str">
        <f>"00438105"</f>
        <v>00438105</v>
      </c>
      <c r="B4524" t="s">
        <v>2874</v>
      </c>
      <c r="C4524" t="s">
        <v>44</v>
      </c>
      <c r="D4524" t="s">
        <v>25</v>
      </c>
      <c r="E4524" t="s">
        <v>26</v>
      </c>
      <c r="F4524" t="s">
        <v>17</v>
      </c>
      <c r="G4524" t="str">
        <f>"33"</f>
        <v>33</v>
      </c>
      <c r="H4524" t="str">
        <f>"3  "</f>
        <v xml:space="preserve">3  </v>
      </c>
      <c r="I4524" t="str">
        <f>"2018/11/20"</f>
        <v>2018/11/20</v>
      </c>
      <c r="J4524" t="str">
        <f>"502"</f>
        <v>502</v>
      </c>
      <c r="K4524" t="str">
        <f>"20291224"</f>
        <v>20291224</v>
      </c>
      <c r="L4524" t="s">
        <v>18</v>
      </c>
      <c r="M4524" t="str">
        <f>"20151005"</f>
        <v>20151005</v>
      </c>
    </row>
    <row r="4525" spans="1:13" x14ac:dyDescent="0.25">
      <c r="A4525" t="str">
        <f>"00166723"</f>
        <v>00166723</v>
      </c>
      <c r="B4525" t="s">
        <v>2894</v>
      </c>
      <c r="C4525" t="s">
        <v>532</v>
      </c>
      <c r="D4525" t="s">
        <v>37</v>
      </c>
      <c r="E4525" t="s">
        <v>26</v>
      </c>
      <c r="F4525" t="s">
        <v>17</v>
      </c>
      <c r="G4525" t="str">
        <f>"33"</f>
        <v>33</v>
      </c>
      <c r="H4525" t="str">
        <f>"7  "</f>
        <v xml:space="preserve">7  </v>
      </c>
      <c r="I4525" t="str">
        <f>"2017/11/03"</f>
        <v>2017/11/03</v>
      </c>
      <c r="J4525" t="str">
        <f>"502"</f>
        <v>502</v>
      </c>
      <c r="K4525" t="s">
        <v>18</v>
      </c>
      <c r="L4525" t="s">
        <v>18</v>
      </c>
      <c r="M4525" t="str">
        <f>"19850529"</f>
        <v>19850529</v>
      </c>
    </row>
    <row r="4526" spans="1:13" x14ac:dyDescent="0.25">
      <c r="A4526" t="str">
        <f>"00526616"</f>
        <v>00526616</v>
      </c>
      <c r="B4526" t="s">
        <v>2942</v>
      </c>
      <c r="C4526" t="s">
        <v>118</v>
      </c>
      <c r="D4526" t="s">
        <v>25</v>
      </c>
      <c r="E4526" t="s">
        <v>16</v>
      </c>
      <c r="F4526" t="s">
        <v>17</v>
      </c>
      <c r="G4526" t="str">
        <f>"33"</f>
        <v>33</v>
      </c>
      <c r="H4526" t="str">
        <f>"3  "</f>
        <v xml:space="preserve">3  </v>
      </c>
      <c r="I4526" t="str">
        <f>"2019/01/23"</f>
        <v>2019/01/23</v>
      </c>
      <c r="J4526" t="str">
        <f>"502"</f>
        <v>502</v>
      </c>
      <c r="K4526" t="str">
        <f>"20270630"</f>
        <v>20270630</v>
      </c>
      <c r="L4526" t="s">
        <v>18</v>
      </c>
      <c r="M4526" t="str">
        <f>"20100112"</f>
        <v>20100112</v>
      </c>
    </row>
    <row r="4527" spans="1:13" x14ac:dyDescent="0.25">
      <c r="A4527" t="str">
        <f>"00721357"</f>
        <v>00721357</v>
      </c>
      <c r="B4527" t="s">
        <v>2962</v>
      </c>
      <c r="C4527" t="s">
        <v>1075</v>
      </c>
      <c r="D4527" t="s">
        <v>25</v>
      </c>
      <c r="E4527" t="s">
        <v>26</v>
      </c>
      <c r="F4527" t="s">
        <v>17</v>
      </c>
      <c r="G4527" t="str">
        <f>"33"</f>
        <v>33</v>
      </c>
      <c r="H4527" t="str">
        <f>"7  "</f>
        <v xml:space="preserve">7  </v>
      </c>
      <c r="I4527" t="str">
        <f>"2019/01/29"</f>
        <v>2019/01/29</v>
      </c>
      <c r="J4527" t="str">
        <f>"502"</f>
        <v>502</v>
      </c>
      <c r="K4527" t="s">
        <v>18</v>
      </c>
      <c r="L4527" t="s">
        <v>18</v>
      </c>
      <c r="M4527" t="str">
        <f>"20120709"</f>
        <v>20120709</v>
      </c>
    </row>
    <row r="4528" spans="1:13" x14ac:dyDescent="0.25">
      <c r="A4528" t="str">
        <f>"00605068"</f>
        <v>00605068</v>
      </c>
      <c r="B4528" t="s">
        <v>2962</v>
      </c>
      <c r="C4528" t="s">
        <v>320</v>
      </c>
      <c r="D4528" t="s">
        <v>15</v>
      </c>
      <c r="E4528" t="s">
        <v>26</v>
      </c>
      <c r="F4528" t="s">
        <v>17</v>
      </c>
      <c r="G4528" t="str">
        <f>"33"</f>
        <v>33</v>
      </c>
      <c r="H4528" t="str">
        <f>"3  "</f>
        <v xml:space="preserve">3  </v>
      </c>
      <c r="I4528" t="str">
        <f>"2018/12/12"</f>
        <v>2018/12/12</v>
      </c>
      <c r="J4528" t="str">
        <f>"502"</f>
        <v>502</v>
      </c>
      <c r="K4528" t="str">
        <f>"20300607"</f>
        <v>20300607</v>
      </c>
      <c r="L4528" t="s">
        <v>18</v>
      </c>
      <c r="M4528" t="str">
        <f>"20121125"</f>
        <v>20121125</v>
      </c>
    </row>
    <row r="4529" spans="1:13" x14ac:dyDescent="0.25">
      <c r="A4529" t="str">
        <f>"00337105"</f>
        <v>00337105</v>
      </c>
      <c r="B4529" t="s">
        <v>2971</v>
      </c>
      <c r="C4529" t="s">
        <v>772</v>
      </c>
      <c r="D4529" t="s">
        <v>21</v>
      </c>
      <c r="E4529" t="s">
        <v>26</v>
      </c>
      <c r="F4529" t="s">
        <v>17</v>
      </c>
      <c r="G4529" t="str">
        <f>"33"</f>
        <v>33</v>
      </c>
      <c r="H4529" t="str">
        <f>"3  "</f>
        <v xml:space="preserve">3  </v>
      </c>
      <c r="I4529" t="str">
        <f>"2019/04/16"</f>
        <v>2019/04/16</v>
      </c>
      <c r="J4529" t="str">
        <f>"502"</f>
        <v>502</v>
      </c>
      <c r="K4529" t="str">
        <f>"20761003"</f>
        <v>20761003</v>
      </c>
      <c r="L4529" t="s">
        <v>18</v>
      </c>
      <c r="M4529" t="str">
        <f>"20040807"</f>
        <v>20040807</v>
      </c>
    </row>
    <row r="4530" spans="1:13" x14ac:dyDescent="0.25">
      <c r="A4530" t="str">
        <f>"00265091"</f>
        <v>00265091</v>
      </c>
      <c r="B4530" t="s">
        <v>3001</v>
      </c>
      <c r="C4530" t="s">
        <v>3002</v>
      </c>
      <c r="D4530" t="s">
        <v>61</v>
      </c>
      <c r="E4530" t="s">
        <v>26</v>
      </c>
      <c r="F4530" t="s">
        <v>17</v>
      </c>
      <c r="G4530" t="str">
        <f>"33"</f>
        <v>33</v>
      </c>
      <c r="H4530" t="str">
        <f>"3  "</f>
        <v xml:space="preserve">3  </v>
      </c>
      <c r="I4530" t="str">
        <f>"2018/12/04"</f>
        <v>2018/12/04</v>
      </c>
      <c r="J4530" t="str">
        <f>"502"</f>
        <v>502</v>
      </c>
      <c r="K4530" t="str">
        <f>"20331226"</f>
        <v>20331226</v>
      </c>
      <c r="L4530" t="s">
        <v>18</v>
      </c>
      <c r="M4530" t="str">
        <f>"20061215"</f>
        <v>20061215</v>
      </c>
    </row>
    <row r="4531" spans="1:13" x14ac:dyDescent="0.25">
      <c r="A4531" t="str">
        <f>"00329229"</f>
        <v>00329229</v>
      </c>
      <c r="B4531" t="s">
        <v>3005</v>
      </c>
      <c r="C4531" t="s">
        <v>327</v>
      </c>
      <c r="D4531" t="s">
        <v>51</v>
      </c>
      <c r="E4531" t="s">
        <v>16</v>
      </c>
      <c r="F4531" t="s">
        <v>17</v>
      </c>
      <c r="G4531" t="str">
        <f>"33"</f>
        <v>33</v>
      </c>
      <c r="H4531" t="str">
        <f>"3  "</f>
        <v xml:space="preserve">3  </v>
      </c>
      <c r="I4531" t="str">
        <f>"2018/12/04"</f>
        <v>2018/12/04</v>
      </c>
      <c r="J4531" t="str">
        <f>"502"</f>
        <v>502</v>
      </c>
      <c r="K4531" t="str">
        <f>"20280820"</f>
        <v>20280820</v>
      </c>
      <c r="L4531" t="s">
        <v>18</v>
      </c>
      <c r="M4531" t="str">
        <f>"20170206"</f>
        <v>20170206</v>
      </c>
    </row>
    <row r="4532" spans="1:13" x14ac:dyDescent="0.25">
      <c r="A4532" t="str">
        <f>"00650348"</f>
        <v>00650348</v>
      </c>
      <c r="B4532" t="s">
        <v>3008</v>
      </c>
      <c r="C4532" t="s">
        <v>578</v>
      </c>
      <c r="D4532" t="s">
        <v>61</v>
      </c>
      <c r="E4532" t="s">
        <v>26</v>
      </c>
      <c r="F4532" t="s">
        <v>17</v>
      </c>
      <c r="G4532" t="str">
        <f>"33"</f>
        <v>33</v>
      </c>
      <c r="H4532" t="str">
        <f>"7  "</f>
        <v xml:space="preserve">7  </v>
      </c>
      <c r="I4532" t="str">
        <f>"2018/08/20"</f>
        <v>2018/08/20</v>
      </c>
      <c r="J4532" t="str">
        <f>"502"</f>
        <v>502</v>
      </c>
      <c r="K4532" t="s">
        <v>18</v>
      </c>
      <c r="L4532" t="s">
        <v>18</v>
      </c>
      <c r="M4532" t="str">
        <f>"20090831"</f>
        <v>20090831</v>
      </c>
    </row>
    <row r="4533" spans="1:13" x14ac:dyDescent="0.25">
      <c r="A4533" t="str">
        <f>"00339032"</f>
        <v>00339032</v>
      </c>
      <c r="B4533" t="s">
        <v>3074</v>
      </c>
      <c r="C4533" t="s">
        <v>176</v>
      </c>
      <c r="D4533" t="s">
        <v>15</v>
      </c>
      <c r="E4533" t="s">
        <v>16</v>
      </c>
      <c r="F4533" t="s">
        <v>17</v>
      </c>
      <c r="G4533" t="str">
        <f>"33"</f>
        <v>33</v>
      </c>
      <c r="H4533" t="str">
        <f>"3  "</f>
        <v xml:space="preserve">3  </v>
      </c>
      <c r="I4533" t="str">
        <f>"2018/11/14"</f>
        <v>2018/11/14</v>
      </c>
      <c r="J4533" t="str">
        <f>"502"</f>
        <v>502</v>
      </c>
      <c r="K4533" t="str">
        <f>"20340413"</f>
        <v>20340413</v>
      </c>
      <c r="L4533" t="s">
        <v>18</v>
      </c>
      <c r="M4533" t="str">
        <f>"20160721"</f>
        <v>20160721</v>
      </c>
    </row>
    <row r="4534" spans="1:13" x14ac:dyDescent="0.25">
      <c r="A4534" t="str">
        <f>"00092507"</f>
        <v>00092507</v>
      </c>
      <c r="B4534" t="s">
        <v>3104</v>
      </c>
      <c r="C4534" t="s">
        <v>1574</v>
      </c>
      <c r="D4534" t="s">
        <v>25</v>
      </c>
      <c r="E4534" t="s">
        <v>26</v>
      </c>
      <c r="F4534" t="s">
        <v>17</v>
      </c>
      <c r="G4534" t="str">
        <f>"33"</f>
        <v>33</v>
      </c>
      <c r="H4534" t="str">
        <f>"3  "</f>
        <v xml:space="preserve">3  </v>
      </c>
      <c r="I4534" t="str">
        <f>"2012/10/22"</f>
        <v>2012/10/22</v>
      </c>
      <c r="J4534" t="str">
        <f>"503"</f>
        <v>503</v>
      </c>
      <c r="K4534" t="str">
        <f>"20430114"</f>
        <v>20430114</v>
      </c>
      <c r="L4534" t="str">
        <f>"20171113"</f>
        <v>20171113</v>
      </c>
      <c r="M4534" t="str">
        <f>"19961113"</f>
        <v>19961113</v>
      </c>
    </row>
    <row r="4535" spans="1:13" x14ac:dyDescent="0.25">
      <c r="A4535" t="str">
        <f>"00253949"</f>
        <v>00253949</v>
      </c>
      <c r="B4535" t="s">
        <v>3109</v>
      </c>
      <c r="C4535" t="s">
        <v>49</v>
      </c>
      <c r="D4535" t="s">
        <v>91</v>
      </c>
      <c r="E4535" t="s">
        <v>16</v>
      </c>
      <c r="F4535" t="s">
        <v>17</v>
      </c>
      <c r="G4535" t="str">
        <f>"33"</f>
        <v>33</v>
      </c>
      <c r="H4535" t="str">
        <f>"3  "</f>
        <v xml:space="preserve">3  </v>
      </c>
      <c r="I4535" t="str">
        <f>"2019/02/06"</f>
        <v>2019/02/06</v>
      </c>
      <c r="J4535" t="str">
        <f>"502"</f>
        <v>502</v>
      </c>
      <c r="K4535" t="str">
        <f>"20990627"</f>
        <v>20990627</v>
      </c>
      <c r="L4535" t="s">
        <v>18</v>
      </c>
      <c r="M4535" t="str">
        <f>"19990120"</f>
        <v>19990120</v>
      </c>
    </row>
    <row r="4536" spans="1:13" x14ac:dyDescent="0.25">
      <c r="A4536" t="str">
        <f>"00093819"</f>
        <v>00093819</v>
      </c>
      <c r="B4536" t="s">
        <v>3124</v>
      </c>
      <c r="C4536" t="s">
        <v>1928</v>
      </c>
      <c r="D4536" t="s">
        <v>61</v>
      </c>
      <c r="E4536" t="s">
        <v>16</v>
      </c>
      <c r="F4536" t="s">
        <v>17</v>
      </c>
      <c r="G4536" t="str">
        <f>"33"</f>
        <v>33</v>
      </c>
      <c r="H4536" t="str">
        <f>"7  "</f>
        <v xml:space="preserve">7  </v>
      </c>
      <c r="I4536" t="str">
        <f>"2017/11/03"</f>
        <v>2017/11/03</v>
      </c>
      <c r="J4536" t="str">
        <f>"502"</f>
        <v>502</v>
      </c>
      <c r="K4536" t="s">
        <v>18</v>
      </c>
      <c r="L4536" t="s">
        <v>18</v>
      </c>
      <c r="M4536" t="str">
        <f>"19751207"</f>
        <v>19751207</v>
      </c>
    </row>
    <row r="4537" spans="1:13" x14ac:dyDescent="0.25">
      <c r="A4537" t="str">
        <f>"00549965"</f>
        <v>00549965</v>
      </c>
      <c r="B4537" t="s">
        <v>3142</v>
      </c>
      <c r="C4537" t="s">
        <v>3145</v>
      </c>
      <c r="D4537" t="s">
        <v>51</v>
      </c>
      <c r="E4537" t="s">
        <v>26</v>
      </c>
      <c r="F4537" t="s">
        <v>17</v>
      </c>
      <c r="G4537" t="str">
        <f>"33"</f>
        <v>33</v>
      </c>
      <c r="H4537" t="str">
        <f>"3  "</f>
        <v xml:space="preserve">3  </v>
      </c>
      <c r="I4537" t="str">
        <f>"2019/01/02"</f>
        <v>2019/01/02</v>
      </c>
      <c r="J4537" t="str">
        <f>"502"</f>
        <v>502</v>
      </c>
      <c r="K4537" t="str">
        <f>"20251102"</f>
        <v>20251102</v>
      </c>
      <c r="L4537" t="s">
        <v>18</v>
      </c>
      <c r="M4537" t="str">
        <f>"20130401"</f>
        <v>20130401</v>
      </c>
    </row>
    <row r="4538" spans="1:13" x14ac:dyDescent="0.25">
      <c r="A4538" t="str">
        <f>"00642449"</f>
        <v>00642449</v>
      </c>
      <c r="B4538" t="s">
        <v>3158</v>
      </c>
      <c r="C4538" t="s">
        <v>1196</v>
      </c>
      <c r="D4538" t="s">
        <v>40</v>
      </c>
      <c r="E4538" t="s">
        <v>26</v>
      </c>
      <c r="F4538" t="s">
        <v>17</v>
      </c>
      <c r="G4538" t="str">
        <f>"33"</f>
        <v>33</v>
      </c>
      <c r="H4538" t="str">
        <f>"3  "</f>
        <v xml:space="preserve">3  </v>
      </c>
      <c r="I4538" t="str">
        <f>"2018/11/14"</f>
        <v>2018/11/14</v>
      </c>
      <c r="J4538" t="str">
        <f>"502"</f>
        <v>502</v>
      </c>
      <c r="K4538" t="str">
        <f>"20390325"</f>
        <v>20390325</v>
      </c>
      <c r="L4538" t="s">
        <v>18</v>
      </c>
      <c r="M4538" t="str">
        <f>"20161024"</f>
        <v>20161024</v>
      </c>
    </row>
    <row r="4539" spans="1:13" x14ac:dyDescent="0.25">
      <c r="A4539" t="str">
        <f>"00412102"</f>
        <v>00412102</v>
      </c>
      <c r="B4539" t="s">
        <v>3169</v>
      </c>
      <c r="C4539" t="s">
        <v>1928</v>
      </c>
      <c r="D4539" t="s">
        <v>16</v>
      </c>
      <c r="E4539" t="s">
        <v>16</v>
      </c>
      <c r="F4539" t="s">
        <v>17</v>
      </c>
      <c r="G4539" t="str">
        <f>"33"</f>
        <v>33</v>
      </c>
      <c r="H4539" t="str">
        <f>"3  "</f>
        <v xml:space="preserve">3  </v>
      </c>
      <c r="I4539" t="str">
        <f>"2019/02/13"</f>
        <v>2019/02/13</v>
      </c>
      <c r="J4539" t="str">
        <f>"502"</f>
        <v>502</v>
      </c>
      <c r="K4539" t="str">
        <f>"20210830"</f>
        <v>20210830</v>
      </c>
      <c r="L4539" t="s">
        <v>18</v>
      </c>
      <c r="M4539" t="str">
        <f>"20130330"</f>
        <v>20130330</v>
      </c>
    </row>
    <row r="4540" spans="1:13" x14ac:dyDescent="0.25">
      <c r="A4540" t="str">
        <f>"00153591"</f>
        <v>00153591</v>
      </c>
      <c r="B4540" t="s">
        <v>3170</v>
      </c>
      <c r="C4540" t="s">
        <v>120</v>
      </c>
      <c r="D4540" t="s">
        <v>25</v>
      </c>
      <c r="E4540" t="s">
        <v>16</v>
      </c>
      <c r="F4540" t="s">
        <v>17</v>
      </c>
      <c r="G4540" t="str">
        <f>"33"</f>
        <v>33</v>
      </c>
      <c r="H4540" t="str">
        <f>"3  "</f>
        <v xml:space="preserve">3  </v>
      </c>
      <c r="I4540" t="str">
        <f>"2019/01/09"</f>
        <v>2019/01/09</v>
      </c>
      <c r="J4540" t="str">
        <f>"502"</f>
        <v>502</v>
      </c>
      <c r="K4540" t="str">
        <f>"20250527"</f>
        <v>20250527</v>
      </c>
      <c r="L4540" t="s">
        <v>18</v>
      </c>
      <c r="M4540" t="str">
        <f>"19910809"</f>
        <v>19910809</v>
      </c>
    </row>
    <row r="4541" spans="1:13" x14ac:dyDescent="0.25">
      <c r="A4541" t="str">
        <f>"00373894"</f>
        <v>00373894</v>
      </c>
      <c r="B4541" t="s">
        <v>3176</v>
      </c>
      <c r="C4541" t="s">
        <v>938</v>
      </c>
      <c r="D4541" t="s">
        <v>113</v>
      </c>
      <c r="E4541" t="s">
        <v>26</v>
      </c>
      <c r="F4541" t="s">
        <v>17</v>
      </c>
      <c r="G4541" t="str">
        <f>"33"</f>
        <v>33</v>
      </c>
      <c r="H4541" t="str">
        <f>"3  "</f>
        <v xml:space="preserve">3  </v>
      </c>
      <c r="I4541" t="str">
        <f>"2018/11/20"</f>
        <v>2018/11/20</v>
      </c>
      <c r="J4541" t="str">
        <f>"502"</f>
        <v>502</v>
      </c>
      <c r="K4541" t="str">
        <f>"20640923"</f>
        <v>20640923</v>
      </c>
      <c r="L4541" t="s">
        <v>18</v>
      </c>
      <c r="M4541" t="str">
        <f>"20150429"</f>
        <v>20150429</v>
      </c>
    </row>
    <row r="4542" spans="1:13" x14ac:dyDescent="0.25">
      <c r="A4542" t="str">
        <f>"00647315"</f>
        <v>00647315</v>
      </c>
      <c r="B4542" t="s">
        <v>3189</v>
      </c>
      <c r="C4542" t="s">
        <v>3190</v>
      </c>
      <c r="D4542" t="s">
        <v>25</v>
      </c>
      <c r="E4542" t="s">
        <v>26</v>
      </c>
      <c r="F4542" t="s">
        <v>17</v>
      </c>
      <c r="G4542" t="str">
        <f>"33"</f>
        <v>33</v>
      </c>
      <c r="H4542" t="str">
        <f>"3  "</f>
        <v xml:space="preserve">3  </v>
      </c>
      <c r="I4542" t="str">
        <f>"2019/01/15"</f>
        <v>2019/01/15</v>
      </c>
      <c r="J4542" t="str">
        <f>"510"</f>
        <v>510</v>
      </c>
      <c r="K4542" t="str">
        <f>"20251224"</f>
        <v>20251224</v>
      </c>
      <c r="L4542" t="s">
        <v>18</v>
      </c>
      <c r="M4542" t="str">
        <f>"20150501"</f>
        <v>20150501</v>
      </c>
    </row>
    <row r="4543" spans="1:13" x14ac:dyDescent="0.25">
      <c r="A4543" t="str">
        <f>"00797814"</f>
        <v>00797814</v>
      </c>
      <c r="B4543" t="s">
        <v>3191</v>
      </c>
      <c r="C4543" t="s">
        <v>22</v>
      </c>
      <c r="D4543" t="s">
        <v>25</v>
      </c>
      <c r="E4543" t="s">
        <v>26</v>
      </c>
      <c r="F4543" t="s">
        <v>17</v>
      </c>
      <c r="G4543" t="str">
        <f>"33"</f>
        <v>33</v>
      </c>
      <c r="H4543" t="str">
        <f>"3  "</f>
        <v xml:space="preserve">3  </v>
      </c>
      <c r="I4543" t="str">
        <f>"2018/04/27"</f>
        <v>2018/04/27</v>
      </c>
      <c r="J4543" t="str">
        <f>"503"</f>
        <v>503</v>
      </c>
      <c r="K4543" t="str">
        <f>"20330703"</f>
        <v>20330703</v>
      </c>
      <c r="L4543" t="s">
        <v>18</v>
      </c>
      <c r="M4543" t="str">
        <f>"20150702"</f>
        <v>20150702</v>
      </c>
    </row>
    <row r="4544" spans="1:13" x14ac:dyDescent="0.25">
      <c r="A4544" t="str">
        <f>"00259185"</f>
        <v>00259185</v>
      </c>
      <c r="B4544" t="s">
        <v>3191</v>
      </c>
      <c r="C4544" t="s">
        <v>3198</v>
      </c>
      <c r="D4544" t="s">
        <v>25</v>
      </c>
      <c r="E4544" t="s">
        <v>26</v>
      </c>
      <c r="F4544" t="s">
        <v>17</v>
      </c>
      <c r="G4544" t="str">
        <f>"33"</f>
        <v>33</v>
      </c>
      <c r="H4544" t="str">
        <f>"7  "</f>
        <v xml:space="preserve">7  </v>
      </c>
      <c r="I4544" t="str">
        <f>"1998/10/13"</f>
        <v>1998/10/13</v>
      </c>
      <c r="J4544" t="str">
        <f>"502"</f>
        <v>502</v>
      </c>
      <c r="K4544" t="s">
        <v>18</v>
      </c>
      <c r="L4544" t="s">
        <v>18</v>
      </c>
      <c r="M4544" t="str">
        <f>"19900912"</f>
        <v>19900912</v>
      </c>
    </row>
    <row r="4545" spans="1:13" x14ac:dyDescent="0.25">
      <c r="A4545" t="str">
        <f>"00593313"</f>
        <v>00593313</v>
      </c>
      <c r="B4545" t="s">
        <v>3209</v>
      </c>
      <c r="C4545" t="s">
        <v>3211</v>
      </c>
      <c r="D4545" t="s">
        <v>182</v>
      </c>
      <c r="E4545" t="s">
        <v>16</v>
      </c>
      <c r="F4545" t="s">
        <v>17</v>
      </c>
      <c r="G4545" t="str">
        <f>"33"</f>
        <v>33</v>
      </c>
      <c r="H4545" t="str">
        <f>"3  "</f>
        <v xml:space="preserve">3  </v>
      </c>
      <c r="I4545" t="str">
        <f>"2019/04/03"</f>
        <v>2019/04/03</v>
      </c>
      <c r="J4545" t="str">
        <f>"503"</f>
        <v>503</v>
      </c>
      <c r="K4545" t="str">
        <f>"20490903"</f>
        <v>20490903</v>
      </c>
      <c r="L4545" t="s">
        <v>18</v>
      </c>
      <c r="M4545" t="str">
        <f>"20120429"</f>
        <v>20120429</v>
      </c>
    </row>
    <row r="4546" spans="1:13" x14ac:dyDescent="0.25">
      <c r="A4546" t="str">
        <f>"00285919"</f>
        <v>00285919</v>
      </c>
      <c r="B4546" t="s">
        <v>3209</v>
      </c>
      <c r="C4546" t="s">
        <v>74</v>
      </c>
      <c r="D4546" t="s">
        <v>25</v>
      </c>
      <c r="E4546" t="s">
        <v>16</v>
      </c>
      <c r="F4546" t="s">
        <v>17</v>
      </c>
      <c r="G4546" t="str">
        <f>"33"</f>
        <v>33</v>
      </c>
      <c r="H4546" t="str">
        <f>"3  "</f>
        <v xml:space="preserve">3  </v>
      </c>
      <c r="I4546" t="str">
        <f>"2019/10/10"</f>
        <v>2019/10/10</v>
      </c>
      <c r="J4546" t="str">
        <f>"510"</f>
        <v>510</v>
      </c>
      <c r="K4546" t="str">
        <f>"20571028"</f>
        <v>20571028</v>
      </c>
      <c r="L4546" t="s">
        <v>18</v>
      </c>
      <c r="M4546" t="str">
        <f>"20090324"</f>
        <v>20090324</v>
      </c>
    </row>
    <row r="4547" spans="1:13" x14ac:dyDescent="0.25">
      <c r="A4547" t="str">
        <f>"00515700"</f>
        <v>00515700</v>
      </c>
      <c r="B4547" t="s">
        <v>3213</v>
      </c>
      <c r="C4547" t="s">
        <v>184</v>
      </c>
      <c r="D4547" t="s">
        <v>61</v>
      </c>
      <c r="E4547" t="s">
        <v>16</v>
      </c>
      <c r="F4547" t="s">
        <v>17</v>
      </c>
      <c r="G4547" t="str">
        <f>"33"</f>
        <v>33</v>
      </c>
      <c r="H4547" t="str">
        <f>"3  "</f>
        <v xml:space="preserve">3  </v>
      </c>
      <c r="I4547" t="str">
        <f>"2019/06/28"</f>
        <v>2019/06/28</v>
      </c>
      <c r="J4547" t="str">
        <f>"503"</f>
        <v>503</v>
      </c>
      <c r="K4547" t="str">
        <f>"20441007"</f>
        <v>20441007</v>
      </c>
      <c r="L4547" t="s">
        <v>18</v>
      </c>
      <c r="M4547" t="str">
        <f>"20081022"</f>
        <v>20081022</v>
      </c>
    </row>
    <row r="4548" spans="1:13" x14ac:dyDescent="0.25">
      <c r="A4548" t="str">
        <f>"00551167"</f>
        <v>00551167</v>
      </c>
      <c r="B4548" t="s">
        <v>3249</v>
      </c>
      <c r="C4548" t="s">
        <v>250</v>
      </c>
      <c r="D4548" t="s">
        <v>25</v>
      </c>
      <c r="E4548" t="s">
        <v>26</v>
      </c>
      <c r="F4548" t="s">
        <v>17</v>
      </c>
      <c r="G4548" t="str">
        <f>"33"</f>
        <v>33</v>
      </c>
      <c r="H4548" t="str">
        <f>"3  "</f>
        <v xml:space="preserve">3  </v>
      </c>
      <c r="I4548" t="str">
        <f>"2017/07/20"</f>
        <v>2017/07/20</v>
      </c>
      <c r="J4548" t="str">
        <f>"502"</f>
        <v>502</v>
      </c>
      <c r="K4548" t="str">
        <f>"20300502"</f>
        <v>20300502</v>
      </c>
      <c r="L4548" t="s">
        <v>18</v>
      </c>
      <c r="M4548" t="str">
        <f>"20140714"</f>
        <v>20140714</v>
      </c>
    </row>
    <row r="4549" spans="1:13" x14ac:dyDescent="0.25">
      <c r="A4549" t="str">
        <f>"00340059"</f>
        <v>00340059</v>
      </c>
      <c r="B4549" t="s">
        <v>3255</v>
      </c>
      <c r="C4549" t="s">
        <v>1477</v>
      </c>
      <c r="D4549" t="s">
        <v>31</v>
      </c>
      <c r="E4549" t="s">
        <v>26</v>
      </c>
      <c r="F4549" t="s">
        <v>17</v>
      </c>
      <c r="G4549" t="str">
        <f>"33"</f>
        <v>33</v>
      </c>
      <c r="H4549" t="str">
        <f>"3  "</f>
        <v xml:space="preserve">3  </v>
      </c>
      <c r="I4549" t="str">
        <f>"2017/11/03"</f>
        <v>2017/11/03</v>
      </c>
      <c r="J4549" t="str">
        <f>"502"</f>
        <v>502</v>
      </c>
      <c r="K4549" t="str">
        <f>"20310518"</f>
        <v>20310518</v>
      </c>
      <c r="L4549" t="s">
        <v>18</v>
      </c>
      <c r="M4549" t="str">
        <f>"20110320"</f>
        <v>20110320</v>
      </c>
    </row>
    <row r="4550" spans="1:13" x14ac:dyDescent="0.25">
      <c r="A4550" t="str">
        <f>"00280057"</f>
        <v>00280057</v>
      </c>
      <c r="B4550" t="s">
        <v>3260</v>
      </c>
      <c r="C4550" t="s">
        <v>2210</v>
      </c>
      <c r="D4550" t="s">
        <v>40</v>
      </c>
      <c r="E4550" t="s">
        <v>26</v>
      </c>
      <c r="F4550" t="s">
        <v>17</v>
      </c>
      <c r="G4550" t="str">
        <f>"33"</f>
        <v>33</v>
      </c>
      <c r="H4550" t="str">
        <f>"3  "</f>
        <v xml:space="preserve">3  </v>
      </c>
      <c r="I4550" t="str">
        <f>"2017/06/27"</f>
        <v>2017/06/27</v>
      </c>
      <c r="J4550" t="str">
        <f>"502"</f>
        <v>502</v>
      </c>
      <c r="K4550" t="str">
        <f>"20211007"</f>
        <v>20211007</v>
      </c>
      <c r="L4550" t="s">
        <v>18</v>
      </c>
      <c r="M4550" t="str">
        <f>"20120419"</f>
        <v>20120419</v>
      </c>
    </row>
    <row r="4551" spans="1:13" x14ac:dyDescent="0.25">
      <c r="A4551" t="str">
        <f>"00338244"</f>
        <v>00338244</v>
      </c>
      <c r="B4551" t="s">
        <v>3269</v>
      </c>
      <c r="C4551" t="s">
        <v>327</v>
      </c>
      <c r="D4551" t="s">
        <v>26</v>
      </c>
      <c r="E4551" t="s">
        <v>16</v>
      </c>
      <c r="F4551" t="s">
        <v>17</v>
      </c>
      <c r="G4551" t="str">
        <f>"33"</f>
        <v>33</v>
      </c>
      <c r="H4551" t="str">
        <f>"3  "</f>
        <v xml:space="preserve">3  </v>
      </c>
      <c r="I4551" t="str">
        <f>"2018/12/04"</f>
        <v>2018/12/04</v>
      </c>
      <c r="J4551" t="str">
        <f>"502"</f>
        <v>502</v>
      </c>
      <c r="K4551" t="str">
        <f>"20291203"</f>
        <v>20291203</v>
      </c>
      <c r="L4551" t="s">
        <v>18</v>
      </c>
      <c r="M4551" t="str">
        <f>"20160710"</f>
        <v>20160710</v>
      </c>
    </row>
    <row r="4552" spans="1:13" x14ac:dyDescent="0.25">
      <c r="A4552" t="str">
        <f>"00416154"</f>
        <v>00416154</v>
      </c>
      <c r="B4552" t="s">
        <v>3295</v>
      </c>
      <c r="C4552" t="s">
        <v>136</v>
      </c>
      <c r="D4552" t="s">
        <v>15</v>
      </c>
      <c r="E4552" t="s">
        <v>16</v>
      </c>
      <c r="F4552" t="s">
        <v>17</v>
      </c>
      <c r="G4552" t="str">
        <f>"33"</f>
        <v>33</v>
      </c>
      <c r="H4552" t="str">
        <f>"7  "</f>
        <v xml:space="preserve">7  </v>
      </c>
      <c r="I4552" t="str">
        <f>"2014/05/21"</f>
        <v>2014/05/21</v>
      </c>
      <c r="J4552" t="str">
        <f>"510"</f>
        <v>510</v>
      </c>
      <c r="K4552" t="s">
        <v>18</v>
      </c>
      <c r="L4552" t="s">
        <v>18</v>
      </c>
      <c r="M4552" t="str">
        <f>"20110916"</f>
        <v>20110916</v>
      </c>
    </row>
    <row r="4553" spans="1:13" x14ac:dyDescent="0.25">
      <c r="A4553" t="str">
        <f>"00561336"</f>
        <v>00561336</v>
      </c>
      <c r="B4553" t="s">
        <v>3318</v>
      </c>
      <c r="C4553" t="s">
        <v>120</v>
      </c>
      <c r="D4553" t="s">
        <v>25</v>
      </c>
      <c r="E4553" t="s">
        <v>16</v>
      </c>
      <c r="F4553" t="s">
        <v>17</v>
      </c>
      <c r="G4553" t="str">
        <f>"33"</f>
        <v>33</v>
      </c>
      <c r="H4553" t="str">
        <f>"7  "</f>
        <v xml:space="preserve">7  </v>
      </c>
      <c r="I4553" t="str">
        <f>"2019/01/29"</f>
        <v>2019/01/29</v>
      </c>
      <c r="J4553" t="str">
        <f>"502"</f>
        <v>502</v>
      </c>
      <c r="K4553" t="s">
        <v>18</v>
      </c>
      <c r="L4553" t="s">
        <v>18</v>
      </c>
      <c r="M4553" t="str">
        <f>"20170420"</f>
        <v>20170420</v>
      </c>
    </row>
    <row r="4554" spans="1:13" x14ac:dyDescent="0.25">
      <c r="A4554" t="str">
        <f>"00465905"</f>
        <v>00465905</v>
      </c>
      <c r="B4554" t="s">
        <v>3339</v>
      </c>
      <c r="C4554" t="s">
        <v>120</v>
      </c>
      <c r="D4554" t="s">
        <v>73</v>
      </c>
      <c r="E4554" t="s">
        <v>16</v>
      </c>
      <c r="F4554" t="s">
        <v>17</v>
      </c>
      <c r="G4554" t="str">
        <f>"33"</f>
        <v>33</v>
      </c>
      <c r="H4554" t="str">
        <f>"3  "</f>
        <v xml:space="preserve">3  </v>
      </c>
      <c r="I4554" t="str">
        <f>"2019/01/02"</f>
        <v>2019/01/02</v>
      </c>
      <c r="J4554" t="str">
        <f>"502"</f>
        <v>502</v>
      </c>
      <c r="K4554" t="str">
        <f>"20410802"</f>
        <v>20410802</v>
      </c>
      <c r="L4554" t="s">
        <v>18</v>
      </c>
      <c r="M4554" t="str">
        <f>"20090604"</f>
        <v>20090604</v>
      </c>
    </row>
    <row r="4555" spans="1:13" x14ac:dyDescent="0.25">
      <c r="A4555" t="str">
        <f>"00604982"</f>
        <v>00604982</v>
      </c>
      <c r="B4555" t="s">
        <v>3355</v>
      </c>
      <c r="C4555" t="s">
        <v>1806</v>
      </c>
      <c r="D4555" t="s">
        <v>1212</v>
      </c>
      <c r="E4555" t="s">
        <v>26</v>
      </c>
      <c r="F4555" t="s">
        <v>17</v>
      </c>
      <c r="G4555" t="str">
        <f>"33"</f>
        <v>33</v>
      </c>
      <c r="H4555" t="str">
        <f>"3  "</f>
        <v xml:space="preserve">3  </v>
      </c>
      <c r="I4555" t="str">
        <f>"2018/11/14"</f>
        <v>2018/11/14</v>
      </c>
      <c r="J4555" t="str">
        <f>"502"</f>
        <v>502</v>
      </c>
      <c r="K4555" t="str">
        <f>"20290820"</f>
        <v>20290820</v>
      </c>
      <c r="L4555" t="s">
        <v>18</v>
      </c>
      <c r="M4555" t="str">
        <f>"20160321"</f>
        <v>20160321</v>
      </c>
    </row>
    <row r="4556" spans="1:13" x14ac:dyDescent="0.25">
      <c r="A4556" t="str">
        <f>"00353072"</f>
        <v>00353072</v>
      </c>
      <c r="B4556" t="s">
        <v>3366</v>
      </c>
      <c r="C4556" t="s">
        <v>169</v>
      </c>
      <c r="D4556" t="s">
        <v>31</v>
      </c>
      <c r="E4556" t="s">
        <v>26</v>
      </c>
      <c r="F4556" t="s">
        <v>17</v>
      </c>
      <c r="G4556" t="str">
        <f>"33"</f>
        <v>33</v>
      </c>
      <c r="H4556" t="str">
        <f>"3  "</f>
        <v xml:space="preserve">3  </v>
      </c>
      <c r="I4556" t="str">
        <f>"2018/11/14"</f>
        <v>2018/11/14</v>
      </c>
      <c r="J4556" t="str">
        <f>"502"</f>
        <v>502</v>
      </c>
      <c r="K4556" t="str">
        <f>"20421024"</f>
        <v>20421024</v>
      </c>
      <c r="L4556" t="s">
        <v>18</v>
      </c>
      <c r="M4556" t="str">
        <f>"20110906"</f>
        <v>20110906</v>
      </c>
    </row>
    <row r="4557" spans="1:13" x14ac:dyDescent="0.25">
      <c r="A4557" t="str">
        <f>"00599037"</f>
        <v>00599037</v>
      </c>
      <c r="B4557" t="s">
        <v>3374</v>
      </c>
      <c r="C4557" t="s">
        <v>1161</v>
      </c>
      <c r="D4557" t="s">
        <v>25</v>
      </c>
      <c r="E4557" t="s">
        <v>26</v>
      </c>
      <c r="F4557" t="s">
        <v>17</v>
      </c>
      <c r="G4557" t="str">
        <f>"33"</f>
        <v>33</v>
      </c>
      <c r="H4557" t="str">
        <f>"3  "</f>
        <v xml:space="preserve">3  </v>
      </c>
      <c r="I4557" t="str">
        <f>"2019/01/09"</f>
        <v>2019/01/09</v>
      </c>
      <c r="J4557" t="str">
        <f>"502"</f>
        <v>502</v>
      </c>
      <c r="K4557" t="str">
        <f>"20340128"</f>
        <v>20340128</v>
      </c>
      <c r="L4557" t="s">
        <v>18</v>
      </c>
      <c r="M4557" t="str">
        <f>"20150414"</f>
        <v>20150414</v>
      </c>
    </row>
    <row r="4558" spans="1:13" x14ac:dyDescent="0.25">
      <c r="A4558" t="str">
        <f>"00603410"</f>
        <v>00603410</v>
      </c>
      <c r="B4558" t="s">
        <v>3381</v>
      </c>
      <c r="C4558" t="s">
        <v>2769</v>
      </c>
      <c r="D4558" t="s">
        <v>40</v>
      </c>
      <c r="E4558" t="s">
        <v>26</v>
      </c>
      <c r="F4558" t="s">
        <v>17</v>
      </c>
      <c r="G4558" t="str">
        <f>"33"</f>
        <v>33</v>
      </c>
      <c r="H4558" t="str">
        <f>"3  "</f>
        <v xml:space="preserve">3  </v>
      </c>
      <c r="I4558" t="str">
        <f>"2018/11/14"</f>
        <v>2018/11/14</v>
      </c>
      <c r="J4558" t="str">
        <f>"502"</f>
        <v>502</v>
      </c>
      <c r="K4558" t="str">
        <f>"20460413"</f>
        <v>20460413</v>
      </c>
      <c r="L4558" t="s">
        <v>18</v>
      </c>
      <c r="M4558" t="str">
        <f>"20151022"</f>
        <v>20151022</v>
      </c>
    </row>
    <row r="4559" spans="1:13" x14ac:dyDescent="0.25">
      <c r="A4559" t="str">
        <f>"00526532"</f>
        <v>00526532</v>
      </c>
      <c r="B4559" t="s">
        <v>3425</v>
      </c>
      <c r="C4559" t="s">
        <v>677</v>
      </c>
      <c r="D4559" t="s">
        <v>25</v>
      </c>
      <c r="E4559" t="s">
        <v>26</v>
      </c>
      <c r="F4559" t="s">
        <v>17</v>
      </c>
      <c r="G4559" t="str">
        <f>"33"</f>
        <v>33</v>
      </c>
      <c r="H4559" t="str">
        <f>"3  "</f>
        <v xml:space="preserve">3  </v>
      </c>
      <c r="I4559" t="str">
        <f>"2018/12/12"</f>
        <v>2018/12/12</v>
      </c>
      <c r="J4559" t="str">
        <f>"502"</f>
        <v>502</v>
      </c>
      <c r="K4559" t="str">
        <f>"20340324"</f>
        <v>20340324</v>
      </c>
      <c r="L4559" t="s">
        <v>18</v>
      </c>
      <c r="M4559" t="str">
        <f>"20110506"</f>
        <v>20110506</v>
      </c>
    </row>
    <row r="4560" spans="1:13" x14ac:dyDescent="0.25">
      <c r="A4560" t="str">
        <f>"00549766"</f>
        <v>00549766</v>
      </c>
      <c r="B4560" t="s">
        <v>3444</v>
      </c>
      <c r="C4560" t="s">
        <v>2430</v>
      </c>
      <c r="D4560" t="s">
        <v>21</v>
      </c>
      <c r="E4560" t="s">
        <v>26</v>
      </c>
      <c r="F4560" t="s">
        <v>17</v>
      </c>
      <c r="G4560" t="str">
        <f>"33"</f>
        <v>33</v>
      </c>
      <c r="H4560" t="str">
        <f>"7  "</f>
        <v xml:space="preserve">7  </v>
      </c>
      <c r="I4560" t="str">
        <f>"2019/01/03"</f>
        <v>2019/01/03</v>
      </c>
      <c r="J4560" t="str">
        <f>"502"</f>
        <v>502</v>
      </c>
      <c r="K4560" t="s">
        <v>18</v>
      </c>
      <c r="L4560" t="s">
        <v>18</v>
      </c>
      <c r="M4560" t="str">
        <f>"20091113"</f>
        <v>20091113</v>
      </c>
    </row>
    <row r="4561" spans="1:13" x14ac:dyDescent="0.25">
      <c r="A4561" t="str">
        <f>"00738326"</f>
        <v>00738326</v>
      </c>
      <c r="B4561" t="s">
        <v>3450</v>
      </c>
      <c r="C4561" t="s">
        <v>426</v>
      </c>
      <c r="D4561" t="s">
        <v>25</v>
      </c>
      <c r="E4561" t="s">
        <v>26</v>
      </c>
      <c r="F4561" t="s">
        <v>17</v>
      </c>
      <c r="G4561" t="str">
        <f>"33"</f>
        <v>33</v>
      </c>
      <c r="H4561" t="str">
        <f>"3  "</f>
        <v xml:space="preserve">3  </v>
      </c>
      <c r="I4561" t="str">
        <f>"2019/06/28"</f>
        <v>2019/06/28</v>
      </c>
      <c r="J4561" t="str">
        <f>"502"</f>
        <v>502</v>
      </c>
      <c r="K4561" t="str">
        <f>"20211221"</f>
        <v>20211221</v>
      </c>
      <c r="L4561" t="s">
        <v>18</v>
      </c>
      <c r="M4561" t="str">
        <f>"20170610"</f>
        <v>20170610</v>
      </c>
    </row>
    <row r="4562" spans="1:13" x14ac:dyDescent="0.25">
      <c r="A4562" t="str">
        <f>"00716875"</f>
        <v>00716875</v>
      </c>
      <c r="B4562" t="s">
        <v>3450</v>
      </c>
      <c r="C4562" t="s">
        <v>213</v>
      </c>
      <c r="D4562" t="s">
        <v>21</v>
      </c>
      <c r="E4562" t="s">
        <v>26</v>
      </c>
      <c r="F4562" t="s">
        <v>17</v>
      </c>
      <c r="G4562" t="str">
        <f>"33"</f>
        <v>33</v>
      </c>
      <c r="H4562" t="str">
        <f>"3  "</f>
        <v xml:space="preserve">3  </v>
      </c>
      <c r="I4562" t="str">
        <f>"2019/02/06"</f>
        <v>2019/02/06</v>
      </c>
      <c r="J4562" t="str">
        <f>"502"</f>
        <v>502</v>
      </c>
      <c r="K4562" t="str">
        <f>"20260608"</f>
        <v>20260608</v>
      </c>
      <c r="L4562" t="s">
        <v>18</v>
      </c>
      <c r="M4562" t="str">
        <f>"20170712"</f>
        <v>20170712</v>
      </c>
    </row>
    <row r="4563" spans="1:13" x14ac:dyDescent="0.25">
      <c r="A4563" t="str">
        <f>"00710200"</f>
        <v>00710200</v>
      </c>
      <c r="B4563" t="s">
        <v>3450</v>
      </c>
      <c r="C4563" t="s">
        <v>3456</v>
      </c>
      <c r="D4563" t="s">
        <v>21</v>
      </c>
      <c r="E4563" t="s">
        <v>26</v>
      </c>
      <c r="F4563" t="s">
        <v>17</v>
      </c>
      <c r="G4563" t="str">
        <f>"33"</f>
        <v>33</v>
      </c>
      <c r="H4563" t="str">
        <f>"3  "</f>
        <v xml:space="preserve">3  </v>
      </c>
      <c r="I4563" t="str">
        <f>"2017/11/03"</f>
        <v>2017/11/03</v>
      </c>
      <c r="J4563" t="str">
        <f>"502"</f>
        <v>502</v>
      </c>
      <c r="K4563" t="str">
        <f>"20380519"</f>
        <v>20380519</v>
      </c>
      <c r="L4563" t="s">
        <v>18</v>
      </c>
      <c r="M4563" t="str">
        <f>"20140710"</f>
        <v>20140710</v>
      </c>
    </row>
    <row r="4564" spans="1:13" x14ac:dyDescent="0.25">
      <c r="A4564" t="str">
        <f>"00619570"</f>
        <v>00619570</v>
      </c>
      <c r="B4564" t="s">
        <v>3450</v>
      </c>
      <c r="C4564" t="s">
        <v>2944</v>
      </c>
      <c r="D4564" t="s">
        <v>40</v>
      </c>
      <c r="E4564" t="s">
        <v>26</v>
      </c>
      <c r="F4564" t="s">
        <v>17</v>
      </c>
      <c r="G4564" t="str">
        <f>"33"</f>
        <v>33</v>
      </c>
      <c r="H4564" t="str">
        <f>"3  "</f>
        <v xml:space="preserve">3  </v>
      </c>
      <c r="I4564" t="str">
        <f>"2019/01/09"</f>
        <v>2019/01/09</v>
      </c>
      <c r="J4564" t="str">
        <f>"502"</f>
        <v>502</v>
      </c>
      <c r="K4564" t="str">
        <f>"20380408"</f>
        <v>20380408</v>
      </c>
      <c r="L4564" t="s">
        <v>18</v>
      </c>
      <c r="M4564" t="str">
        <f>"20110408"</f>
        <v>20110408</v>
      </c>
    </row>
    <row r="4565" spans="1:13" x14ac:dyDescent="0.25">
      <c r="A4565" t="str">
        <f>"00467005"</f>
        <v>00467005</v>
      </c>
      <c r="B4565" t="s">
        <v>3494</v>
      </c>
      <c r="C4565" t="s">
        <v>599</v>
      </c>
      <c r="D4565" t="s">
        <v>37</v>
      </c>
      <c r="E4565" t="s">
        <v>26</v>
      </c>
      <c r="F4565" t="s">
        <v>17</v>
      </c>
      <c r="G4565" t="str">
        <f>"33"</f>
        <v>33</v>
      </c>
      <c r="H4565" t="str">
        <f>"7  "</f>
        <v xml:space="preserve">7  </v>
      </c>
      <c r="I4565" t="str">
        <f>"2019/05/30"</f>
        <v>2019/05/30</v>
      </c>
      <c r="J4565" t="str">
        <f>"502"</f>
        <v>502</v>
      </c>
      <c r="K4565" t="s">
        <v>18</v>
      </c>
      <c r="L4565" t="s">
        <v>18</v>
      </c>
      <c r="M4565" t="str">
        <f>"20040408"</f>
        <v>20040408</v>
      </c>
    </row>
    <row r="4566" spans="1:13" x14ac:dyDescent="0.25">
      <c r="A4566" t="str">
        <f>"00614278"</f>
        <v>00614278</v>
      </c>
      <c r="B4566" t="s">
        <v>3498</v>
      </c>
      <c r="C4566" t="s">
        <v>267</v>
      </c>
      <c r="D4566" t="s">
        <v>25</v>
      </c>
      <c r="E4566" t="s">
        <v>26</v>
      </c>
      <c r="F4566" t="s">
        <v>17</v>
      </c>
      <c r="G4566" t="str">
        <f>"33"</f>
        <v>33</v>
      </c>
      <c r="H4566" t="str">
        <f>"7  "</f>
        <v xml:space="preserve">7  </v>
      </c>
      <c r="I4566" t="str">
        <f>"2019/01/02"</f>
        <v>2019/01/02</v>
      </c>
      <c r="J4566" t="str">
        <f>"502"</f>
        <v>502</v>
      </c>
      <c r="K4566" t="s">
        <v>18</v>
      </c>
      <c r="L4566" t="s">
        <v>18</v>
      </c>
      <c r="M4566" t="str">
        <f>"20120831"</f>
        <v>20120831</v>
      </c>
    </row>
    <row r="4567" spans="1:13" x14ac:dyDescent="0.25">
      <c r="A4567" t="str">
        <f>"00155248"</f>
        <v>00155248</v>
      </c>
      <c r="B4567" t="s">
        <v>3506</v>
      </c>
      <c r="C4567" t="s">
        <v>96</v>
      </c>
      <c r="D4567" t="s">
        <v>45</v>
      </c>
      <c r="E4567" t="s">
        <v>26</v>
      </c>
      <c r="F4567" t="s">
        <v>17</v>
      </c>
      <c r="G4567" t="str">
        <f>"33"</f>
        <v>33</v>
      </c>
      <c r="H4567" t="str">
        <f>"7  "</f>
        <v xml:space="preserve">7  </v>
      </c>
      <c r="I4567" t="str">
        <f>"2017/11/03"</f>
        <v>2017/11/03</v>
      </c>
      <c r="J4567" t="str">
        <f>"502"</f>
        <v>502</v>
      </c>
      <c r="K4567" t="s">
        <v>18</v>
      </c>
      <c r="L4567" t="s">
        <v>18</v>
      </c>
      <c r="M4567" t="str">
        <f>"20080531"</f>
        <v>20080531</v>
      </c>
    </row>
    <row r="4568" spans="1:13" x14ac:dyDescent="0.25">
      <c r="A4568" t="str">
        <f>"00380734"</f>
        <v>00380734</v>
      </c>
      <c r="B4568" t="s">
        <v>3521</v>
      </c>
      <c r="C4568" t="s">
        <v>3523</v>
      </c>
      <c r="D4568" t="s">
        <v>45</v>
      </c>
      <c r="E4568" t="s">
        <v>26</v>
      </c>
      <c r="F4568" t="s">
        <v>17</v>
      </c>
      <c r="G4568" t="str">
        <f>"33"</f>
        <v>33</v>
      </c>
      <c r="H4568" t="str">
        <f>"3  "</f>
        <v xml:space="preserve">3  </v>
      </c>
      <c r="I4568" t="str">
        <f>"2017/11/03"</f>
        <v>2017/11/03</v>
      </c>
      <c r="J4568" t="str">
        <f>"502"</f>
        <v>502</v>
      </c>
      <c r="K4568" t="str">
        <f>"21930918"</f>
        <v>21930918</v>
      </c>
      <c r="L4568" t="s">
        <v>18</v>
      </c>
      <c r="M4568" t="str">
        <f>"20120124"</f>
        <v>20120124</v>
      </c>
    </row>
    <row r="4569" spans="1:13" x14ac:dyDescent="0.25">
      <c r="A4569" t="str">
        <f>"00506814"</f>
        <v>00506814</v>
      </c>
      <c r="B4569" t="s">
        <v>3524</v>
      </c>
      <c r="C4569" t="s">
        <v>3525</v>
      </c>
      <c r="D4569" t="s">
        <v>61</v>
      </c>
      <c r="E4569" t="s">
        <v>26</v>
      </c>
      <c r="F4569" t="s">
        <v>17</v>
      </c>
      <c r="G4569" t="str">
        <f>"33"</f>
        <v>33</v>
      </c>
      <c r="H4569" t="str">
        <f>"3  "</f>
        <v xml:space="preserve">3  </v>
      </c>
      <c r="I4569" t="str">
        <f>"2017/03/04"</f>
        <v>2017/03/04</v>
      </c>
      <c r="J4569" t="str">
        <f>"502"</f>
        <v>502</v>
      </c>
      <c r="K4569" t="str">
        <f>"20260716"</f>
        <v>20260716</v>
      </c>
      <c r="L4569" t="s">
        <v>18</v>
      </c>
      <c r="M4569" t="str">
        <f>"20150129"</f>
        <v>20150129</v>
      </c>
    </row>
    <row r="4570" spans="1:13" x14ac:dyDescent="0.25">
      <c r="A4570" t="str">
        <f>"00849514"</f>
        <v>00849514</v>
      </c>
      <c r="B4570" t="s">
        <v>3532</v>
      </c>
      <c r="C4570" t="s">
        <v>563</v>
      </c>
      <c r="D4570" t="s">
        <v>25</v>
      </c>
      <c r="E4570" t="s">
        <v>26</v>
      </c>
      <c r="F4570" t="s">
        <v>17</v>
      </c>
      <c r="G4570" t="str">
        <f>"33"</f>
        <v>33</v>
      </c>
      <c r="H4570" t="str">
        <f>"3  "</f>
        <v xml:space="preserve">3  </v>
      </c>
      <c r="I4570" t="str">
        <f>"2019/01/15"</f>
        <v>2019/01/15</v>
      </c>
      <c r="J4570" t="str">
        <f>"510"</f>
        <v>510</v>
      </c>
      <c r="K4570" t="str">
        <f>"20250623"</f>
        <v>20250623</v>
      </c>
      <c r="L4570" t="s">
        <v>18</v>
      </c>
      <c r="M4570" t="str">
        <f>"20170609"</f>
        <v>20170609</v>
      </c>
    </row>
    <row r="4571" spans="1:13" x14ac:dyDescent="0.25">
      <c r="A4571" t="str">
        <f>"00490805"</f>
        <v>00490805</v>
      </c>
      <c r="B4571" t="s">
        <v>3575</v>
      </c>
      <c r="C4571" t="s">
        <v>774</v>
      </c>
      <c r="D4571" t="s">
        <v>37</v>
      </c>
      <c r="E4571" t="s">
        <v>26</v>
      </c>
      <c r="F4571" t="s">
        <v>17</v>
      </c>
      <c r="G4571" t="str">
        <f>"33"</f>
        <v>33</v>
      </c>
      <c r="H4571" t="str">
        <f>"3  "</f>
        <v xml:space="preserve">3  </v>
      </c>
      <c r="I4571" t="str">
        <f>"2019/01/29"</f>
        <v>2019/01/29</v>
      </c>
      <c r="J4571" t="str">
        <f>"502"</f>
        <v>502</v>
      </c>
      <c r="K4571" t="str">
        <f>"20240517"</f>
        <v>20240517</v>
      </c>
      <c r="L4571" t="s">
        <v>18</v>
      </c>
      <c r="M4571" t="str">
        <f>"20101130"</f>
        <v>20101130</v>
      </c>
    </row>
    <row r="4572" spans="1:13" x14ac:dyDescent="0.25">
      <c r="A4572" t="str">
        <f>"00577848"</f>
        <v>00577848</v>
      </c>
      <c r="B4572" t="s">
        <v>3597</v>
      </c>
      <c r="C4572" t="s">
        <v>186</v>
      </c>
      <c r="D4572" t="s">
        <v>25</v>
      </c>
      <c r="E4572" t="s">
        <v>26</v>
      </c>
      <c r="F4572" t="s">
        <v>17</v>
      </c>
      <c r="G4572" t="str">
        <f>"33"</f>
        <v>33</v>
      </c>
      <c r="H4572" t="str">
        <f>"3  "</f>
        <v xml:space="preserve">3  </v>
      </c>
      <c r="I4572" t="str">
        <f>"2018/11/14"</f>
        <v>2018/11/14</v>
      </c>
      <c r="J4572" t="str">
        <f>"502"</f>
        <v>502</v>
      </c>
      <c r="K4572" t="str">
        <f>"20551226"</f>
        <v>20551226</v>
      </c>
      <c r="L4572" t="s">
        <v>18</v>
      </c>
      <c r="M4572" t="str">
        <f>"20150731"</f>
        <v>20150731</v>
      </c>
    </row>
    <row r="4573" spans="1:13" x14ac:dyDescent="0.25">
      <c r="A4573" t="str">
        <f>"00432007"</f>
        <v>00432007</v>
      </c>
      <c r="B4573" t="s">
        <v>3635</v>
      </c>
      <c r="C4573" t="s">
        <v>308</v>
      </c>
      <c r="D4573" t="s">
        <v>73</v>
      </c>
      <c r="E4573" t="s">
        <v>16</v>
      </c>
      <c r="F4573" t="s">
        <v>17</v>
      </c>
      <c r="G4573" t="str">
        <f>"33"</f>
        <v>33</v>
      </c>
      <c r="H4573" t="str">
        <f>"3  "</f>
        <v xml:space="preserve">3  </v>
      </c>
      <c r="I4573" t="str">
        <f>"2020/02/18"</f>
        <v>2020/02/18</v>
      </c>
      <c r="J4573" t="str">
        <f>"510"</f>
        <v>510</v>
      </c>
      <c r="K4573" t="str">
        <f>"20530704"</f>
        <v>20530704</v>
      </c>
      <c r="L4573" t="s">
        <v>18</v>
      </c>
      <c r="M4573" t="str">
        <f>"20200218"</f>
        <v>20200218</v>
      </c>
    </row>
    <row r="4574" spans="1:13" x14ac:dyDescent="0.25">
      <c r="A4574" t="str">
        <f>"00603763"</f>
        <v>00603763</v>
      </c>
      <c r="B4574" t="s">
        <v>3635</v>
      </c>
      <c r="C4574" t="s">
        <v>648</v>
      </c>
      <c r="D4574" t="s">
        <v>61</v>
      </c>
      <c r="E4574" t="s">
        <v>26</v>
      </c>
      <c r="F4574" t="s">
        <v>17</v>
      </c>
      <c r="G4574" t="str">
        <f>"33"</f>
        <v>33</v>
      </c>
      <c r="H4574" t="str">
        <f>"3  "</f>
        <v xml:space="preserve">3  </v>
      </c>
      <c r="I4574" t="str">
        <f>"2018/11/14"</f>
        <v>2018/11/14</v>
      </c>
      <c r="J4574" t="str">
        <f>"502"</f>
        <v>502</v>
      </c>
      <c r="K4574" t="str">
        <f>"20300419"</f>
        <v>20300419</v>
      </c>
      <c r="L4574" t="s">
        <v>18</v>
      </c>
      <c r="M4574" t="str">
        <f>"20170107"</f>
        <v>20170107</v>
      </c>
    </row>
    <row r="4575" spans="1:13" x14ac:dyDescent="0.25">
      <c r="A4575" t="str">
        <f>"00511462"</f>
        <v>00511462</v>
      </c>
      <c r="B4575" t="s">
        <v>3647</v>
      </c>
      <c r="C4575" t="s">
        <v>325</v>
      </c>
      <c r="D4575" t="s">
        <v>15</v>
      </c>
      <c r="E4575" t="s">
        <v>26</v>
      </c>
      <c r="F4575" t="s">
        <v>17</v>
      </c>
      <c r="G4575" t="str">
        <f>"33"</f>
        <v>33</v>
      </c>
      <c r="H4575" t="str">
        <f>"3  "</f>
        <v xml:space="preserve">3  </v>
      </c>
      <c r="I4575" t="str">
        <f>"2019/01/15"</f>
        <v>2019/01/15</v>
      </c>
      <c r="J4575" t="str">
        <f>"510"</f>
        <v>510</v>
      </c>
      <c r="K4575" t="str">
        <f>"20260426"</f>
        <v>20260426</v>
      </c>
      <c r="L4575" t="s">
        <v>18</v>
      </c>
      <c r="M4575" t="str">
        <f>"20100423"</f>
        <v>20100423</v>
      </c>
    </row>
    <row r="4576" spans="1:13" x14ac:dyDescent="0.25">
      <c r="A4576" t="str">
        <f>"00778178"</f>
        <v>00778178</v>
      </c>
      <c r="B4576" t="s">
        <v>3651</v>
      </c>
      <c r="C4576" t="s">
        <v>140</v>
      </c>
      <c r="D4576" t="s">
        <v>61</v>
      </c>
      <c r="E4576" t="s">
        <v>16</v>
      </c>
      <c r="F4576" t="s">
        <v>17</v>
      </c>
      <c r="G4576" t="str">
        <f>"33"</f>
        <v>33</v>
      </c>
      <c r="H4576" t="str">
        <f>"3  "</f>
        <v xml:space="preserve">3  </v>
      </c>
      <c r="I4576" t="str">
        <f>"2019/10/10"</f>
        <v>2019/10/10</v>
      </c>
      <c r="J4576" t="str">
        <f>"502"</f>
        <v>502</v>
      </c>
      <c r="K4576" t="str">
        <f>"20290211"</f>
        <v>20290211</v>
      </c>
      <c r="L4576" t="s">
        <v>18</v>
      </c>
      <c r="M4576" t="str">
        <f>"20150806"</f>
        <v>20150806</v>
      </c>
    </row>
    <row r="4577" spans="1:13" x14ac:dyDescent="0.25">
      <c r="A4577" t="str">
        <f>"00183819"</f>
        <v>00183819</v>
      </c>
      <c r="B4577" t="s">
        <v>3725</v>
      </c>
      <c r="C4577" t="s">
        <v>3729</v>
      </c>
      <c r="D4577" t="s">
        <v>51</v>
      </c>
      <c r="E4577" t="s">
        <v>26</v>
      </c>
      <c r="F4577" t="s">
        <v>17</v>
      </c>
      <c r="G4577" t="str">
        <f>"33"</f>
        <v>33</v>
      </c>
      <c r="H4577" t="str">
        <f>"7  "</f>
        <v xml:space="preserve">7  </v>
      </c>
      <c r="I4577" t="str">
        <f>"2017/03/04"</f>
        <v>2017/03/04</v>
      </c>
      <c r="J4577" t="str">
        <f>"502"</f>
        <v>502</v>
      </c>
      <c r="K4577" t="s">
        <v>18</v>
      </c>
      <c r="L4577" t="s">
        <v>18</v>
      </c>
      <c r="M4577" t="str">
        <f>"20060920"</f>
        <v>20060920</v>
      </c>
    </row>
    <row r="4578" spans="1:13" x14ac:dyDescent="0.25">
      <c r="A4578" t="str">
        <f>"00586977"</f>
        <v>00586977</v>
      </c>
      <c r="B4578" t="s">
        <v>3794</v>
      </c>
      <c r="C4578" t="s">
        <v>3795</v>
      </c>
      <c r="D4578" t="s">
        <v>97</v>
      </c>
      <c r="E4578" t="s">
        <v>26</v>
      </c>
      <c r="F4578" t="s">
        <v>17</v>
      </c>
      <c r="G4578" t="str">
        <f>"33"</f>
        <v>33</v>
      </c>
      <c r="H4578" t="str">
        <f>"3  "</f>
        <v xml:space="preserve">3  </v>
      </c>
      <c r="I4578" t="str">
        <f>"2019/01/09"</f>
        <v>2019/01/09</v>
      </c>
      <c r="J4578" t="str">
        <f>"502"</f>
        <v>502</v>
      </c>
      <c r="K4578" t="str">
        <f>"20461122"</f>
        <v>20461122</v>
      </c>
      <c r="L4578" t="s">
        <v>18</v>
      </c>
      <c r="M4578" t="str">
        <f>"20150806"</f>
        <v>20150806</v>
      </c>
    </row>
    <row r="4579" spans="1:13" x14ac:dyDescent="0.25">
      <c r="A4579" t="str">
        <f>"00499268"</f>
        <v>00499268</v>
      </c>
      <c r="B4579" t="s">
        <v>3794</v>
      </c>
      <c r="C4579" t="s">
        <v>261</v>
      </c>
      <c r="D4579" t="s">
        <v>61</v>
      </c>
      <c r="E4579" t="s">
        <v>26</v>
      </c>
      <c r="F4579" t="s">
        <v>17</v>
      </c>
      <c r="G4579" t="str">
        <f>"33"</f>
        <v>33</v>
      </c>
      <c r="H4579" t="str">
        <f>"7  "</f>
        <v xml:space="preserve">7  </v>
      </c>
      <c r="I4579" t="str">
        <f>"2019/01/29"</f>
        <v>2019/01/29</v>
      </c>
      <c r="J4579" t="str">
        <f>"502"</f>
        <v>502</v>
      </c>
      <c r="K4579" t="s">
        <v>18</v>
      </c>
      <c r="L4579" t="s">
        <v>18</v>
      </c>
      <c r="M4579" t="str">
        <f>"20100809"</f>
        <v>20100809</v>
      </c>
    </row>
    <row r="4580" spans="1:13" x14ac:dyDescent="0.25">
      <c r="A4580" t="str">
        <f>"00622813"</f>
        <v>00622813</v>
      </c>
      <c r="B4580" t="s">
        <v>3794</v>
      </c>
      <c r="C4580" t="s">
        <v>62</v>
      </c>
      <c r="D4580" t="s">
        <v>15</v>
      </c>
      <c r="E4580" t="s">
        <v>26</v>
      </c>
      <c r="F4580" t="s">
        <v>17</v>
      </c>
      <c r="G4580" t="str">
        <f>"33"</f>
        <v>33</v>
      </c>
      <c r="H4580" t="str">
        <f>"3  "</f>
        <v xml:space="preserve">3  </v>
      </c>
      <c r="I4580" t="str">
        <f>"2018/11/14"</f>
        <v>2018/11/14</v>
      </c>
      <c r="J4580" t="str">
        <f>"502"</f>
        <v>502</v>
      </c>
      <c r="K4580" t="str">
        <f>"20520820"</f>
        <v>20520820</v>
      </c>
      <c r="L4580" t="s">
        <v>18</v>
      </c>
      <c r="M4580" t="str">
        <f>"20110224"</f>
        <v>20110224</v>
      </c>
    </row>
    <row r="4581" spans="1:13" x14ac:dyDescent="0.25">
      <c r="A4581" t="str">
        <f>"00287192"</f>
        <v>00287192</v>
      </c>
      <c r="B4581" t="s">
        <v>3801</v>
      </c>
      <c r="C4581" t="s">
        <v>211</v>
      </c>
      <c r="D4581" t="s">
        <v>61</v>
      </c>
      <c r="E4581" t="s">
        <v>16</v>
      </c>
      <c r="F4581" t="s">
        <v>17</v>
      </c>
      <c r="G4581" t="str">
        <f>"33"</f>
        <v>33</v>
      </c>
      <c r="H4581" t="str">
        <f>"3  "</f>
        <v xml:space="preserve">3  </v>
      </c>
      <c r="I4581" t="str">
        <f>"2019/01/02"</f>
        <v>2019/01/02</v>
      </c>
      <c r="J4581" t="str">
        <f>"502"</f>
        <v>502</v>
      </c>
      <c r="K4581" t="str">
        <f>"20330707"</f>
        <v>20330707</v>
      </c>
      <c r="L4581" t="s">
        <v>18</v>
      </c>
      <c r="M4581" t="str">
        <f>"20110702"</f>
        <v>20110702</v>
      </c>
    </row>
    <row r="4582" spans="1:13" x14ac:dyDescent="0.25">
      <c r="A4582" t="str">
        <f>"00555608"</f>
        <v>00555608</v>
      </c>
      <c r="B4582" t="s">
        <v>3808</v>
      </c>
      <c r="C4582" t="s">
        <v>1829</v>
      </c>
      <c r="D4582" t="s">
        <v>15</v>
      </c>
      <c r="E4582" t="s">
        <v>16</v>
      </c>
      <c r="F4582" t="s">
        <v>17</v>
      </c>
      <c r="G4582" t="str">
        <f>"33"</f>
        <v>33</v>
      </c>
      <c r="H4582" t="str">
        <f>"3  "</f>
        <v xml:space="preserve">3  </v>
      </c>
      <c r="I4582" t="str">
        <f>"2019/01/02"</f>
        <v>2019/01/02</v>
      </c>
      <c r="J4582" t="str">
        <f>"502"</f>
        <v>502</v>
      </c>
      <c r="K4582" t="str">
        <f>"20261105"</f>
        <v>20261105</v>
      </c>
      <c r="L4582" t="s">
        <v>18</v>
      </c>
      <c r="M4582" t="str">
        <f>"20171204"</f>
        <v>20171204</v>
      </c>
    </row>
    <row r="4583" spans="1:13" x14ac:dyDescent="0.25">
      <c r="A4583" t="str">
        <f>"00397875"</f>
        <v>00397875</v>
      </c>
      <c r="B4583" t="s">
        <v>3825</v>
      </c>
      <c r="C4583" t="s">
        <v>599</v>
      </c>
      <c r="D4583" t="s">
        <v>25</v>
      </c>
      <c r="E4583" t="s">
        <v>26</v>
      </c>
      <c r="F4583" t="s">
        <v>17</v>
      </c>
      <c r="G4583" t="str">
        <f>"33"</f>
        <v>33</v>
      </c>
      <c r="H4583" t="str">
        <f>"3  "</f>
        <v xml:space="preserve">3  </v>
      </c>
      <c r="I4583" t="str">
        <f>"2018/12/04"</f>
        <v>2018/12/04</v>
      </c>
      <c r="J4583" t="str">
        <f>"502"</f>
        <v>502</v>
      </c>
      <c r="K4583" t="str">
        <f>"20260818"</f>
        <v>20260818</v>
      </c>
      <c r="L4583" t="s">
        <v>18</v>
      </c>
      <c r="M4583" t="str">
        <f>"20030520"</f>
        <v>20030520</v>
      </c>
    </row>
    <row r="4584" spans="1:13" x14ac:dyDescent="0.25">
      <c r="A4584" t="str">
        <f>"00602460"</f>
        <v>00602460</v>
      </c>
      <c r="B4584" t="s">
        <v>3847</v>
      </c>
      <c r="C4584" t="s">
        <v>624</v>
      </c>
      <c r="D4584" t="s">
        <v>21</v>
      </c>
      <c r="E4584" t="s">
        <v>26</v>
      </c>
      <c r="F4584" t="s">
        <v>17</v>
      </c>
      <c r="G4584" t="str">
        <f>"33"</f>
        <v>33</v>
      </c>
      <c r="H4584" t="str">
        <f>"3  "</f>
        <v xml:space="preserve">3  </v>
      </c>
      <c r="I4584" t="str">
        <f>"2019/01/09"</f>
        <v>2019/01/09</v>
      </c>
      <c r="J4584" t="str">
        <f>"502"</f>
        <v>502</v>
      </c>
      <c r="K4584" t="str">
        <f>"20440731"</f>
        <v>20440731</v>
      </c>
      <c r="L4584" t="s">
        <v>18</v>
      </c>
      <c r="M4584" t="str">
        <f>"20130321"</f>
        <v>20130321</v>
      </c>
    </row>
    <row r="4585" spans="1:13" x14ac:dyDescent="0.25">
      <c r="A4585" t="str">
        <f>"00444783"</f>
        <v>00444783</v>
      </c>
      <c r="B4585" t="s">
        <v>3882</v>
      </c>
      <c r="C4585" t="s">
        <v>140</v>
      </c>
      <c r="D4585" t="s">
        <v>21</v>
      </c>
      <c r="E4585" t="s">
        <v>16</v>
      </c>
      <c r="F4585" t="s">
        <v>17</v>
      </c>
      <c r="G4585" t="str">
        <f>"33"</f>
        <v>33</v>
      </c>
      <c r="H4585" t="str">
        <f>"3  "</f>
        <v xml:space="preserve">3  </v>
      </c>
      <c r="I4585" t="str">
        <f>"2019/01/09"</f>
        <v>2019/01/09</v>
      </c>
      <c r="J4585" t="str">
        <f>"502"</f>
        <v>502</v>
      </c>
      <c r="K4585" t="str">
        <f>"20400331"</f>
        <v>20400331</v>
      </c>
      <c r="L4585" t="s">
        <v>18</v>
      </c>
      <c r="M4585" t="str">
        <f>"20130627"</f>
        <v>20130627</v>
      </c>
    </row>
    <row r="4586" spans="1:13" x14ac:dyDescent="0.25">
      <c r="A4586" t="str">
        <f>"00500989"</f>
        <v>00500989</v>
      </c>
      <c r="B4586" t="s">
        <v>3904</v>
      </c>
      <c r="C4586" t="s">
        <v>3907</v>
      </c>
      <c r="D4586" t="s">
        <v>40</v>
      </c>
      <c r="E4586" t="s">
        <v>26</v>
      </c>
      <c r="F4586" t="s">
        <v>17</v>
      </c>
      <c r="G4586" t="str">
        <f>"33"</f>
        <v>33</v>
      </c>
      <c r="H4586" t="str">
        <f>"3  "</f>
        <v xml:space="preserve">3  </v>
      </c>
      <c r="I4586" t="str">
        <f>"2019/01/09"</f>
        <v>2019/01/09</v>
      </c>
      <c r="J4586" t="str">
        <f>"502"</f>
        <v>502</v>
      </c>
      <c r="K4586" t="str">
        <f>"20480928"</f>
        <v>20480928</v>
      </c>
      <c r="L4586" t="s">
        <v>18</v>
      </c>
      <c r="M4586" t="str">
        <f>"20050425"</f>
        <v>20050425</v>
      </c>
    </row>
    <row r="4587" spans="1:13" x14ac:dyDescent="0.25">
      <c r="A4587" t="str">
        <f>"00428442"</f>
        <v>00428442</v>
      </c>
      <c r="B4587" t="s">
        <v>3908</v>
      </c>
      <c r="C4587" t="s">
        <v>3911</v>
      </c>
      <c r="D4587" t="s">
        <v>25</v>
      </c>
      <c r="E4587" t="s">
        <v>26</v>
      </c>
      <c r="F4587" t="s">
        <v>17</v>
      </c>
      <c r="G4587" t="str">
        <f>"33"</f>
        <v>33</v>
      </c>
      <c r="H4587" t="str">
        <f>"3  "</f>
        <v xml:space="preserve">3  </v>
      </c>
      <c r="I4587" t="str">
        <f>"2018/11/28"</f>
        <v>2018/11/28</v>
      </c>
      <c r="J4587" t="str">
        <f>"502"</f>
        <v>502</v>
      </c>
      <c r="K4587" t="str">
        <f>"20230117"</f>
        <v>20230117</v>
      </c>
      <c r="L4587" t="s">
        <v>18</v>
      </c>
      <c r="M4587" t="str">
        <f>"20080125"</f>
        <v>20080125</v>
      </c>
    </row>
    <row r="4588" spans="1:13" x14ac:dyDescent="0.25">
      <c r="A4588" t="str">
        <f>"00431472"</f>
        <v>00431472</v>
      </c>
      <c r="B4588" t="s">
        <v>3919</v>
      </c>
      <c r="C4588" t="s">
        <v>44</v>
      </c>
      <c r="D4588" t="s">
        <v>97</v>
      </c>
      <c r="E4588" t="s">
        <v>16</v>
      </c>
      <c r="F4588" t="s">
        <v>17</v>
      </c>
      <c r="G4588" t="str">
        <f>"33"</f>
        <v>33</v>
      </c>
      <c r="H4588" t="str">
        <f>"3  "</f>
        <v xml:space="preserve">3  </v>
      </c>
      <c r="I4588" t="str">
        <f>"2018/12/04"</f>
        <v>2018/12/04</v>
      </c>
      <c r="J4588" t="str">
        <f>"502"</f>
        <v>502</v>
      </c>
      <c r="K4588" t="str">
        <f>"20280217"</f>
        <v>20280217</v>
      </c>
      <c r="L4588" t="s">
        <v>18</v>
      </c>
      <c r="M4588" t="str">
        <f>"20140818"</f>
        <v>20140818</v>
      </c>
    </row>
    <row r="4589" spans="1:13" x14ac:dyDescent="0.25">
      <c r="A4589" t="str">
        <f>"00551773"</f>
        <v>00551773</v>
      </c>
      <c r="B4589" t="s">
        <v>3922</v>
      </c>
      <c r="C4589" t="s">
        <v>3923</v>
      </c>
      <c r="D4589" t="s">
        <v>1212</v>
      </c>
      <c r="E4589" t="s">
        <v>26</v>
      </c>
      <c r="F4589" t="s">
        <v>17</v>
      </c>
      <c r="G4589" t="str">
        <f>"33"</f>
        <v>33</v>
      </c>
      <c r="H4589" t="str">
        <f>"3  "</f>
        <v xml:space="preserve">3  </v>
      </c>
      <c r="I4589" t="str">
        <f>"2018/12/04"</f>
        <v>2018/12/04</v>
      </c>
      <c r="J4589" t="str">
        <f>"502"</f>
        <v>502</v>
      </c>
      <c r="K4589" t="str">
        <f>"20350203"</f>
        <v>20350203</v>
      </c>
      <c r="L4589" t="s">
        <v>18</v>
      </c>
      <c r="M4589" t="str">
        <f>"20130424"</f>
        <v>20130424</v>
      </c>
    </row>
    <row r="4590" spans="1:13" x14ac:dyDescent="0.25">
      <c r="A4590" t="str">
        <f>"00616740"</f>
        <v>00616740</v>
      </c>
      <c r="B4590" t="s">
        <v>3935</v>
      </c>
      <c r="C4590" t="s">
        <v>3936</v>
      </c>
      <c r="D4590" t="s">
        <v>73</v>
      </c>
      <c r="E4590" t="s">
        <v>16</v>
      </c>
      <c r="F4590" t="s">
        <v>17</v>
      </c>
      <c r="G4590" t="str">
        <f>"33"</f>
        <v>33</v>
      </c>
      <c r="H4590" t="str">
        <f>"3  "</f>
        <v xml:space="preserve">3  </v>
      </c>
      <c r="I4590" t="str">
        <f>"2018/12/18"</f>
        <v>2018/12/18</v>
      </c>
      <c r="J4590" t="str">
        <f>"502"</f>
        <v>502</v>
      </c>
      <c r="K4590" t="str">
        <f>"20521217"</f>
        <v>20521217</v>
      </c>
      <c r="L4590" t="s">
        <v>18</v>
      </c>
      <c r="M4590" t="str">
        <f>"20090403"</f>
        <v>20090403</v>
      </c>
    </row>
    <row r="4591" spans="1:13" x14ac:dyDescent="0.25">
      <c r="A4591" t="str">
        <f>"00370540"</f>
        <v>00370540</v>
      </c>
      <c r="B4591" t="s">
        <v>3940</v>
      </c>
      <c r="C4591" t="s">
        <v>258</v>
      </c>
      <c r="D4591" t="s">
        <v>182</v>
      </c>
      <c r="E4591" t="s">
        <v>26</v>
      </c>
      <c r="F4591" t="s">
        <v>17</v>
      </c>
      <c r="G4591" t="str">
        <f>"33"</f>
        <v>33</v>
      </c>
      <c r="H4591" t="str">
        <f>"3  "</f>
        <v xml:space="preserve">3  </v>
      </c>
      <c r="I4591" t="str">
        <f>"2018/07/26"</f>
        <v>2018/07/26</v>
      </c>
      <c r="J4591" t="str">
        <f>"502"</f>
        <v>502</v>
      </c>
      <c r="K4591" t="str">
        <f>"20230216"</f>
        <v>20230216</v>
      </c>
      <c r="L4591" t="s">
        <v>18</v>
      </c>
      <c r="M4591" t="str">
        <f>"20140222"</f>
        <v>20140222</v>
      </c>
    </row>
    <row r="4592" spans="1:13" x14ac:dyDescent="0.25">
      <c r="A4592" t="str">
        <f>"00122670"</f>
        <v>00122670</v>
      </c>
      <c r="B4592" t="s">
        <v>3940</v>
      </c>
      <c r="C4592" t="s">
        <v>308</v>
      </c>
      <c r="D4592" t="s">
        <v>21</v>
      </c>
      <c r="E4592" t="s">
        <v>26</v>
      </c>
      <c r="F4592" t="s">
        <v>17</v>
      </c>
      <c r="G4592" t="str">
        <f>"33"</f>
        <v>33</v>
      </c>
      <c r="H4592" t="str">
        <f>"3  "</f>
        <v xml:space="preserve">3  </v>
      </c>
      <c r="I4592" t="str">
        <f>"2018/11/14"</f>
        <v>2018/11/14</v>
      </c>
      <c r="J4592" t="str">
        <f>"502"</f>
        <v>502</v>
      </c>
      <c r="K4592" t="str">
        <f>"20291213"</f>
        <v>20291213</v>
      </c>
      <c r="L4592" t="s">
        <v>18</v>
      </c>
      <c r="M4592" t="str">
        <f>"20160719"</f>
        <v>20160719</v>
      </c>
    </row>
    <row r="4593" spans="1:13" x14ac:dyDescent="0.25">
      <c r="A4593" t="str">
        <f>"00660548"</f>
        <v>00660548</v>
      </c>
      <c r="B4593" t="s">
        <v>3940</v>
      </c>
      <c r="C4593" t="s">
        <v>55</v>
      </c>
      <c r="D4593" t="s">
        <v>45</v>
      </c>
      <c r="E4593" t="s">
        <v>26</v>
      </c>
      <c r="F4593" t="s">
        <v>17</v>
      </c>
      <c r="G4593" t="str">
        <f>"33"</f>
        <v>33</v>
      </c>
      <c r="H4593" t="str">
        <f>"3  "</f>
        <v xml:space="preserve">3  </v>
      </c>
      <c r="I4593" t="str">
        <f>"2018/11/14"</f>
        <v>2018/11/14</v>
      </c>
      <c r="J4593" t="str">
        <f>"502"</f>
        <v>502</v>
      </c>
      <c r="K4593" t="str">
        <f>"20300113"</f>
        <v>20300113</v>
      </c>
      <c r="L4593" t="s">
        <v>18</v>
      </c>
      <c r="M4593" t="str">
        <f>"20100724"</f>
        <v>20100724</v>
      </c>
    </row>
    <row r="4594" spans="1:13" x14ac:dyDescent="0.25">
      <c r="A4594" t="str">
        <f>"00473015"</f>
        <v>00473015</v>
      </c>
      <c r="B4594" t="s">
        <v>3983</v>
      </c>
      <c r="C4594" t="s">
        <v>3985</v>
      </c>
      <c r="D4594" t="s">
        <v>25</v>
      </c>
      <c r="E4594" t="s">
        <v>26</v>
      </c>
      <c r="F4594" t="s">
        <v>17</v>
      </c>
      <c r="G4594" t="str">
        <f>"33"</f>
        <v>33</v>
      </c>
      <c r="H4594" t="str">
        <f>"3  "</f>
        <v xml:space="preserve">3  </v>
      </c>
      <c r="I4594" t="str">
        <f>"2018/12/04"</f>
        <v>2018/12/04</v>
      </c>
      <c r="J4594" t="str">
        <f>"502"</f>
        <v>502</v>
      </c>
      <c r="K4594" t="str">
        <f>"20251229"</f>
        <v>20251229</v>
      </c>
      <c r="L4594" t="s">
        <v>18</v>
      </c>
      <c r="M4594" t="str">
        <f>"20130220"</f>
        <v>20130220</v>
      </c>
    </row>
    <row r="4595" spans="1:13" x14ac:dyDescent="0.25">
      <c r="A4595" t="str">
        <f>"00243536"</f>
        <v>00243536</v>
      </c>
      <c r="B4595" t="s">
        <v>4001</v>
      </c>
      <c r="C4595" t="s">
        <v>169</v>
      </c>
      <c r="D4595" t="s">
        <v>21</v>
      </c>
      <c r="E4595" t="s">
        <v>26</v>
      </c>
      <c r="F4595" t="s">
        <v>17</v>
      </c>
      <c r="G4595" t="str">
        <f>"33"</f>
        <v>33</v>
      </c>
      <c r="H4595" t="str">
        <f>"3  "</f>
        <v xml:space="preserve">3  </v>
      </c>
      <c r="I4595" t="str">
        <f>"2019/12/20"</f>
        <v>2019/12/20</v>
      </c>
      <c r="J4595" t="str">
        <f>"502"</f>
        <v>502</v>
      </c>
      <c r="K4595" t="str">
        <f>"20360707"</f>
        <v>20360707</v>
      </c>
      <c r="L4595" t="s">
        <v>18</v>
      </c>
      <c r="M4595" t="str">
        <f>"20170905"</f>
        <v>20170905</v>
      </c>
    </row>
    <row r="4596" spans="1:13" x14ac:dyDescent="0.25">
      <c r="A4596" t="str">
        <f>"00738505"</f>
        <v>00738505</v>
      </c>
      <c r="B4596" t="s">
        <v>359</v>
      </c>
      <c r="C4596" t="s">
        <v>360</v>
      </c>
      <c r="D4596" t="s">
        <v>25</v>
      </c>
      <c r="E4596" t="s">
        <v>26</v>
      </c>
      <c r="F4596" t="s">
        <v>17</v>
      </c>
      <c r="G4596" t="str">
        <f>"34"</f>
        <v>34</v>
      </c>
      <c r="H4596" t="str">
        <f>"0  "</f>
        <v xml:space="preserve">0  </v>
      </c>
      <c r="I4596" t="str">
        <f>"2020/01/23"</f>
        <v>2020/01/23</v>
      </c>
      <c r="J4596" t="str">
        <f>"510"</f>
        <v>510</v>
      </c>
      <c r="K4596" t="s">
        <v>18</v>
      </c>
      <c r="L4596" t="s">
        <v>18</v>
      </c>
      <c r="M4596" t="s">
        <v>18</v>
      </c>
    </row>
    <row r="4597" spans="1:13" x14ac:dyDescent="0.25">
      <c r="A4597" t="str">
        <f>"00453214"</f>
        <v>00453214</v>
      </c>
      <c r="B4597" t="s">
        <v>393</v>
      </c>
      <c r="C4597" t="s">
        <v>195</v>
      </c>
      <c r="D4597" t="s">
        <v>80</v>
      </c>
      <c r="E4597" t="s">
        <v>16</v>
      </c>
      <c r="F4597" t="s">
        <v>34</v>
      </c>
      <c r="G4597" t="str">
        <f>"34"</f>
        <v>34</v>
      </c>
      <c r="H4597" t="str">
        <f>"0  "</f>
        <v xml:space="preserve">0  </v>
      </c>
      <c r="I4597" t="str">
        <f>"2020/09/10"</f>
        <v>2020/09/10</v>
      </c>
      <c r="J4597" t="str">
        <f>"501"</f>
        <v>501</v>
      </c>
      <c r="K4597" t="s">
        <v>18</v>
      </c>
      <c r="L4597" t="s">
        <v>18</v>
      </c>
      <c r="M4597" t="s">
        <v>18</v>
      </c>
    </row>
    <row r="4598" spans="1:13" x14ac:dyDescent="0.25">
      <c r="A4598" t="str">
        <f>"00753391"</f>
        <v>00753391</v>
      </c>
      <c r="B4598" t="s">
        <v>535</v>
      </c>
      <c r="C4598" t="s">
        <v>537</v>
      </c>
      <c r="D4598" t="s">
        <v>25</v>
      </c>
      <c r="E4598" t="s">
        <v>26</v>
      </c>
      <c r="F4598" t="s">
        <v>17</v>
      </c>
      <c r="G4598" t="str">
        <f>"34"</f>
        <v>34</v>
      </c>
      <c r="H4598" t="str">
        <f>"0  "</f>
        <v xml:space="preserve">0  </v>
      </c>
      <c r="I4598" t="str">
        <f>"2020/07/31"</f>
        <v>2020/07/31</v>
      </c>
      <c r="J4598" t="str">
        <f>"510"</f>
        <v>510</v>
      </c>
      <c r="K4598" t="s">
        <v>18</v>
      </c>
      <c r="L4598" t="s">
        <v>18</v>
      </c>
      <c r="M4598" t="s">
        <v>18</v>
      </c>
    </row>
    <row r="4599" spans="1:13" x14ac:dyDescent="0.25">
      <c r="A4599" t="str">
        <f>"00573480"</f>
        <v>00573480</v>
      </c>
      <c r="B4599" t="s">
        <v>780</v>
      </c>
      <c r="C4599" t="s">
        <v>36</v>
      </c>
      <c r="D4599" t="s">
        <v>25</v>
      </c>
      <c r="E4599" t="s">
        <v>16</v>
      </c>
      <c r="F4599" t="s">
        <v>17</v>
      </c>
      <c r="G4599" t="str">
        <f>"34"</f>
        <v>34</v>
      </c>
      <c r="H4599" t="str">
        <f>"0  "</f>
        <v xml:space="preserve">0  </v>
      </c>
      <c r="I4599" t="str">
        <f>"2018/02/22"</f>
        <v>2018/02/22</v>
      </c>
      <c r="J4599" t="str">
        <f>"510"</f>
        <v>510</v>
      </c>
      <c r="K4599" t="s">
        <v>18</v>
      </c>
      <c r="L4599" t="s">
        <v>18</v>
      </c>
      <c r="M4599" t="s">
        <v>18</v>
      </c>
    </row>
    <row r="4600" spans="1:13" x14ac:dyDescent="0.25">
      <c r="A4600" t="str">
        <f>"00592956"</f>
        <v>00592956</v>
      </c>
      <c r="B4600" t="s">
        <v>1596</v>
      </c>
      <c r="C4600" t="s">
        <v>181</v>
      </c>
      <c r="D4600" t="s">
        <v>21</v>
      </c>
      <c r="E4600" t="s">
        <v>26</v>
      </c>
      <c r="F4600" t="s">
        <v>17</v>
      </c>
      <c r="G4600" t="str">
        <f>"34"</f>
        <v>34</v>
      </c>
      <c r="H4600" t="str">
        <f>"3  "</f>
        <v xml:space="preserve">3  </v>
      </c>
      <c r="I4600" t="str">
        <f>"2020/07/10"</f>
        <v>2020/07/10</v>
      </c>
      <c r="J4600" t="str">
        <f>"502"</f>
        <v>502</v>
      </c>
      <c r="K4600" t="str">
        <f>"20230420"</f>
        <v>20230420</v>
      </c>
      <c r="L4600" t="s">
        <v>18</v>
      </c>
      <c r="M4600" t="str">
        <f>"20141013"</f>
        <v>20141013</v>
      </c>
    </row>
    <row r="4601" spans="1:13" x14ac:dyDescent="0.25">
      <c r="A4601" t="str">
        <f>"00784436"</f>
        <v>00784436</v>
      </c>
      <c r="B4601" t="s">
        <v>1661</v>
      </c>
      <c r="C4601" t="s">
        <v>1662</v>
      </c>
      <c r="D4601" t="s">
        <v>45</v>
      </c>
      <c r="E4601" t="s">
        <v>16</v>
      </c>
      <c r="F4601" t="s">
        <v>34</v>
      </c>
      <c r="G4601" t="str">
        <f>"34"</f>
        <v>34</v>
      </c>
      <c r="H4601" t="str">
        <f>"0  "</f>
        <v xml:space="preserve">0  </v>
      </c>
      <c r="I4601" t="str">
        <f>"2015/03/19"</f>
        <v>2015/03/19</v>
      </c>
      <c r="J4601" t="str">
        <f>"501"</f>
        <v>501</v>
      </c>
      <c r="K4601" t="s">
        <v>18</v>
      </c>
      <c r="L4601" t="s">
        <v>18</v>
      </c>
      <c r="M4601" t="s">
        <v>18</v>
      </c>
    </row>
    <row r="4602" spans="1:13" x14ac:dyDescent="0.25">
      <c r="A4602" t="str">
        <f>"00518046"</f>
        <v>00518046</v>
      </c>
      <c r="B4602" t="s">
        <v>1672</v>
      </c>
      <c r="C4602" t="s">
        <v>1673</v>
      </c>
      <c r="D4602" t="s">
        <v>97</v>
      </c>
      <c r="E4602" t="s">
        <v>26</v>
      </c>
      <c r="F4602" t="s">
        <v>17</v>
      </c>
      <c r="G4602" t="str">
        <f>"34"</f>
        <v>34</v>
      </c>
      <c r="H4602" t="str">
        <f>"3  "</f>
        <v xml:space="preserve">3  </v>
      </c>
      <c r="I4602" t="str">
        <f>"2020/08/17"</f>
        <v>2020/08/17</v>
      </c>
      <c r="J4602" t="str">
        <f>"510"</f>
        <v>510</v>
      </c>
      <c r="K4602" t="str">
        <f>"20250413"</f>
        <v>20250413</v>
      </c>
      <c r="L4602" t="s">
        <v>18</v>
      </c>
      <c r="M4602" t="str">
        <f>"20190523"</f>
        <v>20190523</v>
      </c>
    </row>
    <row r="4603" spans="1:13" x14ac:dyDescent="0.25">
      <c r="A4603" t="str">
        <f>"00685321"</f>
        <v>00685321</v>
      </c>
      <c r="B4603" t="s">
        <v>1751</v>
      </c>
      <c r="C4603" t="s">
        <v>66</v>
      </c>
      <c r="D4603" t="s">
        <v>45</v>
      </c>
      <c r="E4603" t="s">
        <v>16</v>
      </c>
      <c r="F4603" t="s">
        <v>17</v>
      </c>
      <c r="G4603" t="str">
        <f>"34"</f>
        <v>34</v>
      </c>
      <c r="H4603" t="str">
        <f>"0  "</f>
        <v xml:space="preserve">0  </v>
      </c>
      <c r="I4603" t="str">
        <f>"2011/03/16"</f>
        <v>2011/03/16</v>
      </c>
      <c r="J4603" t="str">
        <f>"510"</f>
        <v>510</v>
      </c>
      <c r="K4603" t="s">
        <v>18</v>
      </c>
      <c r="L4603" t="s">
        <v>18</v>
      </c>
      <c r="M4603" t="s">
        <v>18</v>
      </c>
    </row>
    <row r="4604" spans="1:13" x14ac:dyDescent="0.25">
      <c r="A4604" t="str">
        <f>"00515093"</f>
        <v>00515093</v>
      </c>
      <c r="B4604" t="s">
        <v>1768</v>
      </c>
      <c r="C4604" t="s">
        <v>1772</v>
      </c>
      <c r="D4604" t="s">
        <v>25</v>
      </c>
      <c r="E4604" t="s">
        <v>26</v>
      </c>
      <c r="F4604" t="s">
        <v>17</v>
      </c>
      <c r="G4604" t="str">
        <f>"34"</f>
        <v>34</v>
      </c>
      <c r="H4604" t="str">
        <f>"0  "</f>
        <v xml:space="preserve">0  </v>
      </c>
      <c r="I4604" t="str">
        <f>"2017/11/30"</f>
        <v>2017/11/30</v>
      </c>
      <c r="J4604" t="str">
        <f>"510"</f>
        <v>510</v>
      </c>
      <c r="K4604" t="s">
        <v>18</v>
      </c>
      <c r="L4604" t="s">
        <v>18</v>
      </c>
      <c r="M4604" t="s">
        <v>18</v>
      </c>
    </row>
    <row r="4605" spans="1:13" x14ac:dyDescent="0.25">
      <c r="A4605" t="str">
        <f>"00715090"</f>
        <v>00715090</v>
      </c>
      <c r="B4605" t="s">
        <v>1873</v>
      </c>
      <c r="C4605" t="s">
        <v>1874</v>
      </c>
      <c r="D4605" t="s">
        <v>51</v>
      </c>
      <c r="E4605" t="s">
        <v>26</v>
      </c>
      <c r="F4605" t="s">
        <v>17</v>
      </c>
      <c r="G4605" t="str">
        <f>"34"</f>
        <v>34</v>
      </c>
      <c r="H4605" t="str">
        <f>"0  "</f>
        <v xml:space="preserve">0  </v>
      </c>
      <c r="I4605" t="str">
        <f>"2019/11/21"</f>
        <v>2019/11/21</v>
      </c>
      <c r="J4605" t="str">
        <f>"510"</f>
        <v>510</v>
      </c>
      <c r="K4605" t="s">
        <v>18</v>
      </c>
      <c r="L4605" t="s">
        <v>18</v>
      </c>
      <c r="M4605" t="s">
        <v>18</v>
      </c>
    </row>
    <row r="4606" spans="1:13" x14ac:dyDescent="0.25">
      <c r="A4606" t="str">
        <f>"00912772"</f>
        <v>00912772</v>
      </c>
      <c r="B4606" t="s">
        <v>1882</v>
      </c>
      <c r="C4606" t="s">
        <v>1604</v>
      </c>
      <c r="D4606" t="s">
        <v>25</v>
      </c>
      <c r="E4606" t="s">
        <v>26</v>
      </c>
      <c r="F4606" t="s">
        <v>17</v>
      </c>
      <c r="G4606" t="str">
        <f>"34"</f>
        <v>34</v>
      </c>
      <c r="H4606" t="str">
        <f>"0  "</f>
        <v xml:space="preserve">0  </v>
      </c>
      <c r="I4606" t="str">
        <f>"2019/08/08"</f>
        <v>2019/08/08</v>
      </c>
      <c r="J4606" t="str">
        <f>"503"</f>
        <v>503</v>
      </c>
      <c r="K4606" t="s">
        <v>18</v>
      </c>
      <c r="L4606" t="s">
        <v>18</v>
      </c>
      <c r="M4606" t="s">
        <v>18</v>
      </c>
    </row>
    <row r="4607" spans="1:13" x14ac:dyDescent="0.25">
      <c r="A4607" t="str">
        <f>"00501499"</f>
        <v>00501499</v>
      </c>
      <c r="B4607" t="s">
        <v>1893</v>
      </c>
      <c r="C4607" t="s">
        <v>1075</v>
      </c>
      <c r="D4607" t="s">
        <v>40</v>
      </c>
      <c r="E4607" t="s">
        <v>16</v>
      </c>
      <c r="F4607" t="s">
        <v>17</v>
      </c>
      <c r="G4607" t="str">
        <f>"34"</f>
        <v>34</v>
      </c>
      <c r="H4607" t="str">
        <f>"0  "</f>
        <v xml:space="preserve">0  </v>
      </c>
      <c r="I4607" t="str">
        <f>"2019/06/13"</f>
        <v>2019/06/13</v>
      </c>
      <c r="J4607" t="str">
        <f>"503"</f>
        <v>503</v>
      </c>
      <c r="K4607" t="s">
        <v>18</v>
      </c>
      <c r="L4607" t="s">
        <v>18</v>
      </c>
      <c r="M4607" t="s">
        <v>18</v>
      </c>
    </row>
    <row r="4608" spans="1:13" x14ac:dyDescent="0.25">
      <c r="A4608" t="str">
        <f>"00788471"</f>
        <v>00788471</v>
      </c>
      <c r="B4608" t="s">
        <v>2002</v>
      </c>
      <c r="C4608" t="s">
        <v>385</v>
      </c>
      <c r="D4608" t="s">
        <v>25</v>
      </c>
      <c r="E4608" t="s">
        <v>26</v>
      </c>
      <c r="F4608" t="s">
        <v>17</v>
      </c>
      <c r="G4608" t="str">
        <f>"34"</f>
        <v>34</v>
      </c>
      <c r="H4608" t="str">
        <f>"0  "</f>
        <v xml:space="preserve">0  </v>
      </c>
      <c r="I4608" t="str">
        <f>"2016/05/31"</f>
        <v>2016/05/31</v>
      </c>
      <c r="J4608" t="str">
        <f>"510"</f>
        <v>510</v>
      </c>
      <c r="K4608" t="s">
        <v>18</v>
      </c>
      <c r="L4608" t="s">
        <v>18</v>
      </c>
      <c r="M4608" t="s">
        <v>18</v>
      </c>
    </row>
    <row r="4609" spans="1:13" x14ac:dyDescent="0.25">
      <c r="A4609" t="str">
        <f>"00248637"</f>
        <v>00248637</v>
      </c>
      <c r="B4609" t="s">
        <v>2024</v>
      </c>
      <c r="C4609" t="s">
        <v>44</v>
      </c>
      <c r="D4609" t="s">
        <v>40</v>
      </c>
      <c r="E4609" t="s">
        <v>26</v>
      </c>
      <c r="F4609" t="s">
        <v>17</v>
      </c>
      <c r="G4609" t="str">
        <f>"34"</f>
        <v>34</v>
      </c>
      <c r="H4609" t="str">
        <f>"0  "</f>
        <v xml:space="preserve">0  </v>
      </c>
      <c r="I4609" t="str">
        <f>"2018/01/18"</f>
        <v>2018/01/18</v>
      </c>
      <c r="J4609" t="str">
        <f>"502"</f>
        <v>502</v>
      </c>
      <c r="K4609" t="s">
        <v>18</v>
      </c>
      <c r="L4609" t="s">
        <v>18</v>
      </c>
      <c r="M4609" t="s">
        <v>18</v>
      </c>
    </row>
    <row r="4610" spans="1:13" x14ac:dyDescent="0.25">
      <c r="A4610" t="str">
        <f>"00914213"</f>
        <v>00914213</v>
      </c>
      <c r="B4610" t="s">
        <v>2084</v>
      </c>
      <c r="C4610" t="s">
        <v>261</v>
      </c>
      <c r="D4610" t="s">
        <v>25</v>
      </c>
      <c r="E4610" t="s">
        <v>26</v>
      </c>
      <c r="F4610" t="s">
        <v>17</v>
      </c>
      <c r="G4610" t="str">
        <f>"34"</f>
        <v>34</v>
      </c>
      <c r="H4610" t="str">
        <f>"0  "</f>
        <v xml:space="preserve">0  </v>
      </c>
      <c r="I4610" t="str">
        <f>"2019/10/30"</f>
        <v>2019/10/30</v>
      </c>
      <c r="J4610" t="str">
        <f>"510"</f>
        <v>510</v>
      </c>
      <c r="K4610" t="s">
        <v>18</v>
      </c>
      <c r="L4610" t="s">
        <v>18</v>
      </c>
      <c r="M4610" t="s">
        <v>18</v>
      </c>
    </row>
    <row r="4611" spans="1:13" x14ac:dyDescent="0.25">
      <c r="A4611" t="str">
        <f>"00819072"</f>
        <v>00819072</v>
      </c>
      <c r="B4611" t="s">
        <v>2198</v>
      </c>
      <c r="C4611" t="s">
        <v>2199</v>
      </c>
      <c r="D4611" t="s">
        <v>25</v>
      </c>
      <c r="E4611" t="s">
        <v>26</v>
      </c>
      <c r="F4611" t="s">
        <v>17</v>
      </c>
      <c r="G4611" t="str">
        <f>"34"</f>
        <v>34</v>
      </c>
      <c r="H4611" t="str">
        <f>"0  "</f>
        <v xml:space="preserve">0  </v>
      </c>
      <c r="I4611" t="str">
        <f>"2020/08/27"</f>
        <v>2020/08/27</v>
      </c>
      <c r="J4611" t="str">
        <f>"510"</f>
        <v>510</v>
      </c>
      <c r="K4611" t="s">
        <v>18</v>
      </c>
      <c r="L4611" t="s">
        <v>18</v>
      </c>
      <c r="M4611" t="s">
        <v>18</v>
      </c>
    </row>
    <row r="4612" spans="1:13" x14ac:dyDescent="0.25">
      <c r="A4612" t="str">
        <f>"00556845"</f>
        <v>00556845</v>
      </c>
      <c r="B4612" t="s">
        <v>2200</v>
      </c>
      <c r="C4612" t="s">
        <v>148</v>
      </c>
      <c r="D4612" t="s">
        <v>21</v>
      </c>
      <c r="E4612" t="s">
        <v>16</v>
      </c>
      <c r="F4612" t="s">
        <v>17</v>
      </c>
      <c r="G4612" t="str">
        <f>"34"</f>
        <v>34</v>
      </c>
      <c r="H4612" t="str">
        <f>"3  "</f>
        <v xml:space="preserve">3  </v>
      </c>
      <c r="I4612" t="str">
        <f>"2020/06/26"</f>
        <v>2020/06/26</v>
      </c>
      <c r="J4612" t="str">
        <f>"502"</f>
        <v>502</v>
      </c>
      <c r="K4612" t="str">
        <f>"20291226"</f>
        <v>20291226</v>
      </c>
      <c r="L4612" t="s">
        <v>18</v>
      </c>
      <c r="M4612" t="str">
        <f>"20150801"</f>
        <v>20150801</v>
      </c>
    </row>
    <row r="4613" spans="1:13" x14ac:dyDescent="0.25">
      <c r="A4613" t="str">
        <f>"00292256"</f>
        <v>00292256</v>
      </c>
      <c r="B4613" t="s">
        <v>2343</v>
      </c>
      <c r="C4613" t="s">
        <v>1622</v>
      </c>
      <c r="D4613" t="s">
        <v>31</v>
      </c>
      <c r="E4613" t="s">
        <v>26</v>
      </c>
      <c r="F4613" t="s">
        <v>17</v>
      </c>
      <c r="G4613" t="str">
        <f>"34"</f>
        <v>34</v>
      </c>
      <c r="H4613" t="str">
        <f>"0  "</f>
        <v xml:space="preserve">0  </v>
      </c>
      <c r="I4613" t="str">
        <f>"2020/08/13"</f>
        <v>2020/08/13</v>
      </c>
      <c r="J4613" t="str">
        <f>"510"</f>
        <v>510</v>
      </c>
      <c r="K4613" t="s">
        <v>18</v>
      </c>
      <c r="L4613" t="s">
        <v>18</v>
      </c>
      <c r="M4613" t="s">
        <v>18</v>
      </c>
    </row>
    <row r="4614" spans="1:13" x14ac:dyDescent="0.25">
      <c r="A4614" t="str">
        <f>"00432408"</f>
        <v>00432408</v>
      </c>
      <c r="B4614" t="s">
        <v>2461</v>
      </c>
      <c r="C4614" t="s">
        <v>2464</v>
      </c>
      <c r="D4614" t="s">
        <v>25</v>
      </c>
      <c r="E4614" t="s">
        <v>26</v>
      </c>
      <c r="F4614" t="s">
        <v>17</v>
      </c>
      <c r="G4614" t="str">
        <f>"34"</f>
        <v>34</v>
      </c>
      <c r="H4614" t="str">
        <f>"6  "</f>
        <v xml:space="preserve">6  </v>
      </c>
      <c r="I4614" t="str">
        <f>"2001/09/21"</f>
        <v>2001/09/21</v>
      </c>
      <c r="J4614" t="str">
        <f>"114"</f>
        <v>114</v>
      </c>
      <c r="K4614" t="s">
        <v>18</v>
      </c>
      <c r="L4614" t="s">
        <v>18</v>
      </c>
      <c r="M4614" t="str">
        <f>"20000309"</f>
        <v>20000309</v>
      </c>
    </row>
    <row r="4615" spans="1:13" x14ac:dyDescent="0.25">
      <c r="A4615" t="str">
        <f>"00516678"</f>
        <v>00516678</v>
      </c>
      <c r="B4615" t="s">
        <v>2494</v>
      </c>
      <c r="C4615" t="s">
        <v>547</v>
      </c>
      <c r="D4615" t="s">
        <v>45</v>
      </c>
      <c r="E4615" t="s">
        <v>26</v>
      </c>
      <c r="F4615" t="s">
        <v>17</v>
      </c>
      <c r="G4615" t="str">
        <f>"34"</f>
        <v>34</v>
      </c>
      <c r="H4615" t="str">
        <f>"0  "</f>
        <v xml:space="preserve">0  </v>
      </c>
      <c r="I4615" t="str">
        <f>"2019/12/12"</f>
        <v>2019/12/12</v>
      </c>
      <c r="J4615" t="str">
        <f>"510"</f>
        <v>510</v>
      </c>
      <c r="K4615" t="s">
        <v>18</v>
      </c>
      <c r="L4615" t="s">
        <v>18</v>
      </c>
      <c r="M4615" t="s">
        <v>18</v>
      </c>
    </row>
    <row r="4616" spans="1:13" x14ac:dyDescent="0.25">
      <c r="A4616" t="str">
        <f>"00810187"</f>
        <v>00810187</v>
      </c>
      <c r="B4616" t="s">
        <v>2559</v>
      </c>
      <c r="C4616" t="s">
        <v>2560</v>
      </c>
      <c r="D4616" t="s">
        <v>25</v>
      </c>
      <c r="E4616" t="s">
        <v>26</v>
      </c>
      <c r="F4616" t="s">
        <v>17</v>
      </c>
      <c r="G4616" t="str">
        <f>"34"</f>
        <v>34</v>
      </c>
      <c r="H4616" t="str">
        <f>"3  "</f>
        <v xml:space="preserve">3  </v>
      </c>
      <c r="I4616" t="str">
        <f>"2018/05/24"</f>
        <v>2018/05/24</v>
      </c>
      <c r="J4616" t="str">
        <f>"502"</f>
        <v>502</v>
      </c>
      <c r="K4616" t="str">
        <f>"20250117"</f>
        <v>20250117</v>
      </c>
      <c r="L4616" t="s">
        <v>18</v>
      </c>
      <c r="M4616" t="str">
        <f>"20160101"</f>
        <v>20160101</v>
      </c>
    </row>
    <row r="4617" spans="1:13" x14ac:dyDescent="0.25">
      <c r="A4617" t="str">
        <f>"00485069"</f>
        <v>00485069</v>
      </c>
      <c r="B4617" t="s">
        <v>2674</v>
      </c>
      <c r="C4617" t="s">
        <v>2675</v>
      </c>
      <c r="D4617" t="s">
        <v>61</v>
      </c>
      <c r="E4617" t="s">
        <v>26</v>
      </c>
      <c r="F4617" t="s">
        <v>17</v>
      </c>
      <c r="G4617" t="str">
        <f>"34"</f>
        <v>34</v>
      </c>
      <c r="H4617" t="str">
        <f>"3  "</f>
        <v xml:space="preserve">3  </v>
      </c>
      <c r="I4617" t="str">
        <f>"2020/08/14"</f>
        <v>2020/08/14</v>
      </c>
      <c r="J4617" t="str">
        <f>"510"</f>
        <v>510</v>
      </c>
      <c r="K4617" t="str">
        <f>"20241125"</f>
        <v>20241125</v>
      </c>
      <c r="L4617" t="s">
        <v>18</v>
      </c>
      <c r="M4617" t="str">
        <f>"20190619"</f>
        <v>20190619</v>
      </c>
    </row>
    <row r="4618" spans="1:13" x14ac:dyDescent="0.25">
      <c r="A4618" t="str">
        <f>"00504060"</f>
        <v>00504060</v>
      </c>
      <c r="B4618" t="s">
        <v>2718</v>
      </c>
      <c r="C4618" t="s">
        <v>2719</v>
      </c>
      <c r="D4618" t="s">
        <v>61</v>
      </c>
      <c r="E4618" t="s">
        <v>26</v>
      </c>
      <c r="F4618" t="s">
        <v>17</v>
      </c>
      <c r="G4618" t="str">
        <f>"34"</f>
        <v>34</v>
      </c>
      <c r="H4618" t="str">
        <f>"3  "</f>
        <v xml:space="preserve">3  </v>
      </c>
      <c r="I4618" t="str">
        <f>"2019/10/15"</f>
        <v>2019/10/15</v>
      </c>
      <c r="J4618" t="str">
        <f>"502"</f>
        <v>502</v>
      </c>
      <c r="K4618" t="str">
        <f>"20341018"</f>
        <v>20341018</v>
      </c>
      <c r="L4618" t="s">
        <v>18</v>
      </c>
      <c r="M4618" t="str">
        <f>"20161027"</f>
        <v>20161027</v>
      </c>
    </row>
    <row r="4619" spans="1:13" x14ac:dyDescent="0.25">
      <c r="A4619" t="str">
        <f>"00445300"</f>
        <v>00445300</v>
      </c>
      <c r="B4619" t="s">
        <v>2851</v>
      </c>
      <c r="C4619" t="s">
        <v>188</v>
      </c>
      <c r="D4619" t="s">
        <v>21</v>
      </c>
      <c r="E4619" t="s">
        <v>16</v>
      </c>
      <c r="F4619" t="s">
        <v>17</v>
      </c>
      <c r="G4619" t="str">
        <f>"34"</f>
        <v>34</v>
      </c>
      <c r="H4619" t="str">
        <f>"0  "</f>
        <v xml:space="preserve">0  </v>
      </c>
      <c r="I4619" t="str">
        <f>"2019/01/17"</f>
        <v>2019/01/17</v>
      </c>
      <c r="J4619" t="str">
        <f>"510"</f>
        <v>510</v>
      </c>
      <c r="K4619" t="s">
        <v>18</v>
      </c>
      <c r="L4619" t="s">
        <v>18</v>
      </c>
      <c r="M4619" t="s">
        <v>18</v>
      </c>
    </row>
    <row r="4620" spans="1:13" x14ac:dyDescent="0.25">
      <c r="A4620" t="str">
        <f>"00333765"</f>
        <v>00333765</v>
      </c>
      <c r="B4620" t="s">
        <v>3027</v>
      </c>
      <c r="C4620" t="s">
        <v>3029</v>
      </c>
      <c r="D4620" t="s">
        <v>51</v>
      </c>
      <c r="E4620" t="s">
        <v>26</v>
      </c>
      <c r="F4620" t="s">
        <v>17</v>
      </c>
      <c r="G4620" t="str">
        <f>"34"</f>
        <v>34</v>
      </c>
      <c r="H4620" t="str">
        <f>"3  "</f>
        <v xml:space="preserve">3  </v>
      </c>
      <c r="I4620" t="str">
        <f>"2018/11/15"</f>
        <v>2018/11/15</v>
      </c>
      <c r="J4620" t="str">
        <f>"502"</f>
        <v>502</v>
      </c>
      <c r="K4620" t="str">
        <f>"20490516"</f>
        <v>20490516</v>
      </c>
      <c r="L4620" t="s">
        <v>18</v>
      </c>
      <c r="M4620" t="str">
        <f>"20171018"</f>
        <v>20171018</v>
      </c>
    </row>
    <row r="4621" spans="1:13" x14ac:dyDescent="0.25">
      <c r="A4621" t="str">
        <f>"00753366"</f>
        <v>00753366</v>
      </c>
      <c r="B4621" t="s">
        <v>3132</v>
      </c>
      <c r="C4621" t="s">
        <v>827</v>
      </c>
      <c r="D4621" t="s">
        <v>25</v>
      </c>
      <c r="E4621" t="s">
        <v>26</v>
      </c>
      <c r="F4621" t="s">
        <v>17</v>
      </c>
      <c r="G4621" t="str">
        <f>"34"</f>
        <v>34</v>
      </c>
      <c r="H4621" t="str">
        <f>"0  "</f>
        <v xml:space="preserve">0  </v>
      </c>
      <c r="I4621" t="str">
        <f>"2014/01/02"</f>
        <v>2014/01/02</v>
      </c>
      <c r="J4621" t="str">
        <f>"510"</f>
        <v>510</v>
      </c>
      <c r="K4621" t="s">
        <v>18</v>
      </c>
      <c r="L4621" t="s">
        <v>18</v>
      </c>
      <c r="M4621" t="s">
        <v>18</v>
      </c>
    </row>
    <row r="4622" spans="1:13" x14ac:dyDescent="0.25">
      <c r="A4622" t="str">
        <f>"00549373"</f>
        <v>00549373</v>
      </c>
      <c r="B4622" t="s">
        <v>3502</v>
      </c>
      <c r="C4622" t="s">
        <v>3504</v>
      </c>
      <c r="D4622" t="s">
        <v>21</v>
      </c>
      <c r="E4622" t="s">
        <v>26</v>
      </c>
      <c r="F4622" t="s">
        <v>17</v>
      </c>
      <c r="G4622" t="str">
        <f>"34"</f>
        <v>34</v>
      </c>
      <c r="H4622" t="str">
        <f>"0  "</f>
        <v xml:space="preserve">0  </v>
      </c>
      <c r="I4622" t="str">
        <f>"2020/01/16"</f>
        <v>2020/01/16</v>
      </c>
      <c r="J4622" t="str">
        <f>"510"</f>
        <v>510</v>
      </c>
      <c r="K4622" t="s">
        <v>18</v>
      </c>
      <c r="L4622" t="s">
        <v>18</v>
      </c>
      <c r="M4622" t="s">
        <v>18</v>
      </c>
    </row>
    <row r="4623" spans="1:13" x14ac:dyDescent="0.25">
      <c r="A4623" t="str">
        <f>"00614737"</f>
        <v>00614737</v>
      </c>
      <c r="B4623" t="s">
        <v>3597</v>
      </c>
      <c r="C4623" t="s">
        <v>1309</v>
      </c>
      <c r="D4623" t="s">
        <v>15</v>
      </c>
      <c r="E4623" t="s">
        <v>16</v>
      </c>
      <c r="F4623" t="s">
        <v>17</v>
      </c>
      <c r="G4623" t="str">
        <f>"34"</f>
        <v>34</v>
      </c>
      <c r="H4623" t="str">
        <f>"0  "</f>
        <v xml:space="preserve">0  </v>
      </c>
      <c r="I4623" t="str">
        <f>"2015/10/15"</f>
        <v>2015/10/15</v>
      </c>
      <c r="J4623" t="str">
        <f>"510"</f>
        <v>510</v>
      </c>
      <c r="K4623" t="s">
        <v>18</v>
      </c>
      <c r="L4623" t="s">
        <v>18</v>
      </c>
      <c r="M4623" t="s">
        <v>18</v>
      </c>
    </row>
    <row r="4624" spans="1:13" x14ac:dyDescent="0.25">
      <c r="A4624" t="str">
        <f>"00656272"</f>
        <v>00656272</v>
      </c>
      <c r="B4624" t="s">
        <v>3635</v>
      </c>
      <c r="C4624" t="s">
        <v>3243</v>
      </c>
      <c r="D4624" t="s">
        <v>45</v>
      </c>
      <c r="E4624" t="s">
        <v>26</v>
      </c>
      <c r="F4624" t="s">
        <v>17</v>
      </c>
      <c r="G4624" t="str">
        <f>"34"</f>
        <v>34</v>
      </c>
      <c r="H4624" t="str">
        <f>"0  "</f>
        <v xml:space="preserve">0  </v>
      </c>
      <c r="I4624" t="str">
        <f>"2020/08/13"</f>
        <v>2020/08/13</v>
      </c>
      <c r="J4624" t="str">
        <f>"510"</f>
        <v>510</v>
      </c>
      <c r="K4624" t="s">
        <v>18</v>
      </c>
      <c r="L4624" t="s">
        <v>18</v>
      </c>
      <c r="M4624" t="s">
        <v>18</v>
      </c>
    </row>
    <row r="4625" spans="1:13" x14ac:dyDescent="0.25">
      <c r="A4625" t="str">
        <f>"00680576"</f>
        <v>00680576</v>
      </c>
      <c r="B4625" t="s">
        <v>3747</v>
      </c>
      <c r="C4625" t="s">
        <v>524</v>
      </c>
      <c r="D4625" t="s">
        <v>182</v>
      </c>
      <c r="E4625" t="s">
        <v>16</v>
      </c>
      <c r="F4625" t="s">
        <v>17</v>
      </c>
      <c r="G4625" t="str">
        <f>"34"</f>
        <v>34</v>
      </c>
      <c r="H4625" t="str">
        <f>"3  "</f>
        <v xml:space="preserve">3  </v>
      </c>
      <c r="I4625" t="str">
        <f>"2020/08/24"</f>
        <v>2020/08/24</v>
      </c>
      <c r="J4625" t="str">
        <f>"502"</f>
        <v>502</v>
      </c>
      <c r="K4625" t="str">
        <f>"20250327"</f>
        <v>20250327</v>
      </c>
      <c r="L4625" t="s">
        <v>18</v>
      </c>
      <c r="M4625" t="str">
        <f>"20170208"</f>
        <v>20170208</v>
      </c>
    </row>
    <row r="4626" spans="1:13" x14ac:dyDescent="0.25">
      <c r="A4626" t="str">
        <f>"00736825"</f>
        <v>00736825</v>
      </c>
      <c r="B4626" t="s">
        <v>3756</v>
      </c>
      <c r="C4626" t="s">
        <v>1404</v>
      </c>
      <c r="D4626" t="s">
        <v>25</v>
      </c>
      <c r="E4626" t="s">
        <v>16</v>
      </c>
      <c r="F4626" t="s">
        <v>17</v>
      </c>
      <c r="G4626" t="str">
        <f>"34"</f>
        <v>34</v>
      </c>
      <c r="H4626" t="str">
        <f>"0  "</f>
        <v xml:space="preserve">0  </v>
      </c>
      <c r="I4626" t="str">
        <f>"2020/08/21"</f>
        <v>2020/08/21</v>
      </c>
      <c r="J4626" t="str">
        <f>"510"</f>
        <v>510</v>
      </c>
      <c r="K4626" t="s">
        <v>18</v>
      </c>
      <c r="L4626" t="s">
        <v>18</v>
      </c>
      <c r="M4626" t="s">
        <v>18</v>
      </c>
    </row>
    <row r="4627" spans="1:13" x14ac:dyDescent="0.25">
      <c r="A4627" t="str">
        <f>"00524496"</f>
        <v>00524496</v>
      </c>
      <c r="B4627" t="s">
        <v>3789</v>
      </c>
      <c r="C4627" t="s">
        <v>755</v>
      </c>
      <c r="D4627" t="s">
        <v>40</v>
      </c>
      <c r="E4627" t="s">
        <v>16</v>
      </c>
      <c r="F4627" t="s">
        <v>17</v>
      </c>
      <c r="G4627" t="str">
        <f>"34"</f>
        <v>34</v>
      </c>
      <c r="H4627" t="str">
        <f>"0  "</f>
        <v xml:space="preserve">0  </v>
      </c>
      <c r="I4627" t="str">
        <f>"2015/10/05"</f>
        <v>2015/10/05</v>
      </c>
      <c r="J4627" t="str">
        <f>"510"</f>
        <v>510</v>
      </c>
      <c r="K4627" t="s">
        <v>18</v>
      </c>
      <c r="L4627" t="s">
        <v>18</v>
      </c>
      <c r="M4627" t="s">
        <v>18</v>
      </c>
    </row>
    <row r="4628" spans="1:13" x14ac:dyDescent="0.25">
      <c r="A4628" t="str">
        <f>"00347248"</f>
        <v>00347248</v>
      </c>
      <c r="B4628" t="s">
        <v>3904</v>
      </c>
      <c r="C4628" t="s">
        <v>74</v>
      </c>
      <c r="D4628" t="s">
        <v>61</v>
      </c>
      <c r="E4628" t="s">
        <v>26</v>
      </c>
      <c r="F4628" t="s">
        <v>17</v>
      </c>
      <c r="G4628" t="str">
        <f>"34"</f>
        <v>34</v>
      </c>
      <c r="H4628" t="str">
        <f>"0  "</f>
        <v xml:space="preserve">0  </v>
      </c>
      <c r="I4628" t="str">
        <f>"2019/11/27"</f>
        <v>2019/11/27</v>
      </c>
      <c r="J4628" t="str">
        <f>"510"</f>
        <v>510</v>
      </c>
      <c r="K4628" t="s">
        <v>18</v>
      </c>
      <c r="L4628" t="s">
        <v>18</v>
      </c>
      <c r="M4628" t="s">
        <v>18</v>
      </c>
    </row>
    <row r="4629" spans="1:13" x14ac:dyDescent="0.25">
      <c r="A4629" t="str">
        <f>"00900274"</f>
        <v>00900274</v>
      </c>
      <c r="B4629" t="s">
        <v>4051</v>
      </c>
      <c r="C4629" t="s">
        <v>4057</v>
      </c>
      <c r="D4629" t="s">
        <v>21</v>
      </c>
      <c r="E4629" t="s">
        <v>16</v>
      </c>
      <c r="F4629" t="s">
        <v>34</v>
      </c>
      <c r="G4629" t="str">
        <f>"34"</f>
        <v>34</v>
      </c>
      <c r="H4629" t="str">
        <f>"0  "</f>
        <v xml:space="preserve">0  </v>
      </c>
      <c r="I4629" t="str">
        <f>"2019/05/22"</f>
        <v>2019/05/22</v>
      </c>
      <c r="J4629" t="str">
        <f>"501"</f>
        <v>501</v>
      </c>
      <c r="K4629" t="s">
        <v>18</v>
      </c>
      <c r="L4629" t="s">
        <v>18</v>
      </c>
      <c r="M4629" t="s">
        <v>18</v>
      </c>
    </row>
    <row r="4630" spans="1:13" x14ac:dyDescent="0.25">
      <c r="A4630" t="str">
        <f>"00699261"</f>
        <v>00699261</v>
      </c>
      <c r="B4630" t="s">
        <v>2103</v>
      </c>
      <c r="C4630" t="s">
        <v>1642</v>
      </c>
      <c r="D4630" t="s">
        <v>80</v>
      </c>
      <c r="E4630" t="s">
        <v>16</v>
      </c>
      <c r="F4630" t="s">
        <v>17</v>
      </c>
      <c r="G4630" t="str">
        <f>"38"</f>
        <v>38</v>
      </c>
      <c r="H4630" t="str">
        <f>"1  "</f>
        <v xml:space="preserve">1  </v>
      </c>
      <c r="I4630" t="str">
        <f>"2016/12/18"</f>
        <v>2016/12/18</v>
      </c>
      <c r="J4630" t="str">
        <f>"512"</f>
        <v>512</v>
      </c>
      <c r="K4630" t="s">
        <v>18</v>
      </c>
      <c r="L4630" t="s">
        <v>18</v>
      </c>
      <c r="M4630" t="s">
        <v>18</v>
      </c>
    </row>
    <row r="4631" spans="1:13" x14ac:dyDescent="0.25">
      <c r="A4631" t="str">
        <f>"00535310"</f>
        <v>00535310</v>
      </c>
      <c r="B4631" t="s">
        <v>3039</v>
      </c>
      <c r="C4631" t="s">
        <v>3041</v>
      </c>
      <c r="D4631" t="s">
        <v>15</v>
      </c>
      <c r="E4631" t="s">
        <v>26</v>
      </c>
      <c r="F4631" t="s">
        <v>34</v>
      </c>
      <c r="G4631" t="str">
        <f>"38"</f>
        <v>38</v>
      </c>
      <c r="H4631" t="str">
        <f>"1  "</f>
        <v xml:space="preserve">1  </v>
      </c>
      <c r="I4631" t="str">
        <f>"2020/09/20"</f>
        <v>2020/09/20</v>
      </c>
      <c r="J4631" t="str">
        <f>"511"</f>
        <v>511</v>
      </c>
      <c r="K4631" t="str">
        <f>"20201122"</f>
        <v>20201122</v>
      </c>
      <c r="L4631" t="s">
        <v>18</v>
      </c>
      <c r="M4631" t="str">
        <f>"20200918"</f>
        <v>20200918</v>
      </c>
    </row>
    <row r="4632" spans="1:13" x14ac:dyDescent="0.25">
      <c r="A4632" t="str">
        <f>"00169367"</f>
        <v>00169367</v>
      </c>
      <c r="B4632" t="s">
        <v>3162</v>
      </c>
      <c r="C4632" t="s">
        <v>1159</v>
      </c>
      <c r="D4632" t="s">
        <v>61</v>
      </c>
      <c r="E4632" t="s">
        <v>16</v>
      </c>
      <c r="F4632" t="s">
        <v>17</v>
      </c>
      <c r="G4632" t="str">
        <f>"38"</f>
        <v>38</v>
      </c>
      <c r="H4632" t="str">
        <f>"1  "</f>
        <v xml:space="preserve">1  </v>
      </c>
      <c r="I4632" t="str">
        <f>"2017/10/29"</f>
        <v>2017/10/29</v>
      </c>
      <c r="J4632" t="str">
        <f>"504"</f>
        <v>504</v>
      </c>
      <c r="K4632" t="s">
        <v>18</v>
      </c>
      <c r="L4632" t="s">
        <v>18</v>
      </c>
      <c r="M4632" t="s">
        <v>18</v>
      </c>
    </row>
    <row r="4633" spans="1:13" x14ac:dyDescent="0.25">
      <c r="A4633" t="str">
        <f>"00225521"</f>
        <v>00225521</v>
      </c>
      <c r="B4633" t="s">
        <v>3508</v>
      </c>
      <c r="C4633" t="s">
        <v>49</v>
      </c>
      <c r="D4633" t="s">
        <v>45</v>
      </c>
      <c r="E4633" t="s">
        <v>16</v>
      </c>
      <c r="F4633" t="s">
        <v>17</v>
      </c>
      <c r="G4633" t="str">
        <f>"38"</f>
        <v>38</v>
      </c>
      <c r="H4633" t="str">
        <f>"1  "</f>
        <v xml:space="preserve">1  </v>
      </c>
      <c r="I4633" t="str">
        <f>"2016/12/04"</f>
        <v>2016/12/04</v>
      </c>
      <c r="J4633" t="str">
        <f>"504"</f>
        <v>504</v>
      </c>
      <c r="K4633" t="s">
        <v>18</v>
      </c>
      <c r="L4633" t="s">
        <v>18</v>
      </c>
      <c r="M4633" t="s">
        <v>18</v>
      </c>
    </row>
    <row r="4634" spans="1:13" x14ac:dyDescent="0.25">
      <c r="A4634" t="str">
        <f>"00732166"</f>
        <v>00732166</v>
      </c>
      <c r="B4634" t="s">
        <v>3847</v>
      </c>
      <c r="C4634" t="s">
        <v>353</v>
      </c>
      <c r="D4634" t="s">
        <v>21</v>
      </c>
      <c r="E4634" t="s">
        <v>16</v>
      </c>
      <c r="F4634" t="s">
        <v>17</v>
      </c>
      <c r="G4634" t="str">
        <f>"38"</f>
        <v>38</v>
      </c>
      <c r="H4634" t="str">
        <f>"1  "</f>
        <v xml:space="preserve">1  </v>
      </c>
      <c r="I4634" t="str">
        <f>"2020/09/20"</f>
        <v>2020/09/20</v>
      </c>
      <c r="J4634" t="str">
        <f>"512"</f>
        <v>512</v>
      </c>
      <c r="K4634" t="str">
        <f>"20201011"</f>
        <v>20201011</v>
      </c>
      <c r="L4634" t="s">
        <v>18</v>
      </c>
      <c r="M4634" t="str">
        <f>"20200911"</f>
        <v>20200911</v>
      </c>
    </row>
    <row r="4635" spans="1:13" x14ac:dyDescent="0.25">
      <c r="A4635" t="str">
        <f>"00179988"</f>
        <v>00179988</v>
      </c>
      <c r="B4635" t="s">
        <v>3972</v>
      </c>
      <c r="C4635" t="s">
        <v>2503</v>
      </c>
      <c r="D4635" t="s">
        <v>37</v>
      </c>
      <c r="E4635" t="s">
        <v>26</v>
      </c>
      <c r="F4635" t="s">
        <v>17</v>
      </c>
      <c r="G4635" t="str">
        <f>"38"</f>
        <v>38</v>
      </c>
      <c r="H4635" t="str">
        <f>"6  "</f>
        <v xml:space="preserve">6  </v>
      </c>
      <c r="I4635" t="str">
        <f>"2011/06/05"</f>
        <v>2011/06/05</v>
      </c>
      <c r="J4635" t="str">
        <f>"504"</f>
        <v>504</v>
      </c>
      <c r="K4635" t="s">
        <v>18</v>
      </c>
      <c r="L4635" t="s">
        <v>18</v>
      </c>
      <c r="M4635" t="str">
        <f>"20110603"</f>
        <v>20110603</v>
      </c>
    </row>
    <row r="4636" spans="1:13" x14ac:dyDescent="0.25">
      <c r="A4636" t="str">
        <f>"00484432"</f>
        <v>00484432</v>
      </c>
      <c r="B4636" t="s">
        <v>81</v>
      </c>
      <c r="C4636" t="s">
        <v>82</v>
      </c>
      <c r="D4636" t="s">
        <v>40</v>
      </c>
      <c r="E4636" t="s">
        <v>26</v>
      </c>
      <c r="F4636" t="s">
        <v>17</v>
      </c>
      <c r="G4636" t="str">
        <f>"39"</f>
        <v>39</v>
      </c>
      <c r="H4636" t="str">
        <f>"6  "</f>
        <v xml:space="preserve">6  </v>
      </c>
      <c r="I4636" t="str">
        <f>"2012/06/27"</f>
        <v>2012/06/27</v>
      </c>
      <c r="J4636" t="str">
        <f>"534"</f>
        <v>534</v>
      </c>
      <c r="K4636" t="s">
        <v>18</v>
      </c>
      <c r="L4636" t="s">
        <v>18</v>
      </c>
      <c r="M4636" t="str">
        <f>"20110413"</f>
        <v>20110413</v>
      </c>
    </row>
    <row r="4637" spans="1:13" x14ac:dyDescent="0.25">
      <c r="A4637" t="str">
        <f>"00894087"</f>
        <v>00894087</v>
      </c>
      <c r="B4637" t="s">
        <v>114</v>
      </c>
      <c r="C4637" t="s">
        <v>117</v>
      </c>
      <c r="D4637" t="s">
        <v>51</v>
      </c>
      <c r="E4637" t="s">
        <v>16</v>
      </c>
      <c r="F4637" t="s">
        <v>17</v>
      </c>
      <c r="G4637" t="str">
        <f>"39"</f>
        <v>39</v>
      </c>
      <c r="H4637" t="str">
        <f>"6  "</f>
        <v xml:space="preserve">6  </v>
      </c>
      <c r="I4637" t="str">
        <f>"2020/01/30"</f>
        <v>2020/01/30</v>
      </c>
      <c r="J4637" t="str">
        <f>"503"</f>
        <v>503</v>
      </c>
      <c r="K4637" t="s">
        <v>18</v>
      </c>
      <c r="L4637" t="s">
        <v>18</v>
      </c>
      <c r="M4637" t="str">
        <f>"20200130"</f>
        <v>20200130</v>
      </c>
    </row>
    <row r="4638" spans="1:13" x14ac:dyDescent="0.25">
      <c r="A4638" t="str">
        <f>"00454262"</f>
        <v>00454262</v>
      </c>
      <c r="B4638" t="s">
        <v>185</v>
      </c>
      <c r="C4638" t="s">
        <v>186</v>
      </c>
      <c r="D4638" t="s">
        <v>25</v>
      </c>
      <c r="E4638" t="s">
        <v>16</v>
      </c>
      <c r="F4638" t="s">
        <v>17</v>
      </c>
      <c r="G4638" t="str">
        <f>"39"</f>
        <v>39</v>
      </c>
      <c r="H4638" t="str">
        <f>"6  "</f>
        <v xml:space="preserve">6  </v>
      </c>
      <c r="I4638" t="str">
        <f>"2019/04/01"</f>
        <v>2019/04/01</v>
      </c>
      <c r="J4638" t="str">
        <f>"510"</f>
        <v>510</v>
      </c>
      <c r="K4638" t="s">
        <v>18</v>
      </c>
      <c r="L4638" t="s">
        <v>18</v>
      </c>
      <c r="M4638" t="str">
        <f>"20190401"</f>
        <v>20190401</v>
      </c>
    </row>
    <row r="4639" spans="1:13" x14ac:dyDescent="0.25">
      <c r="A4639" t="str">
        <f>"00871542"</f>
        <v>00871542</v>
      </c>
      <c r="B4639" t="s">
        <v>206</v>
      </c>
      <c r="C4639" t="s">
        <v>207</v>
      </c>
      <c r="D4639" t="s">
        <v>25</v>
      </c>
      <c r="E4639" t="s">
        <v>26</v>
      </c>
      <c r="F4639" t="s">
        <v>17</v>
      </c>
      <c r="G4639" t="str">
        <f>"39"</f>
        <v>39</v>
      </c>
      <c r="H4639" t="str">
        <f>"6  "</f>
        <v xml:space="preserve">6  </v>
      </c>
      <c r="I4639" t="str">
        <f>"2019/12/17"</f>
        <v>2019/12/17</v>
      </c>
      <c r="J4639" t="str">
        <f>"510"</f>
        <v>510</v>
      </c>
      <c r="K4639" t="s">
        <v>18</v>
      </c>
      <c r="L4639" t="s">
        <v>18</v>
      </c>
      <c r="M4639" t="str">
        <f>"20191213"</f>
        <v>20191213</v>
      </c>
    </row>
    <row r="4640" spans="1:13" x14ac:dyDescent="0.25">
      <c r="A4640" t="str">
        <f>"00821364"</f>
        <v>00821364</v>
      </c>
      <c r="B4640" t="s">
        <v>221</v>
      </c>
      <c r="C4640" t="s">
        <v>222</v>
      </c>
      <c r="D4640" t="s">
        <v>25</v>
      </c>
      <c r="E4640" t="s">
        <v>26</v>
      </c>
      <c r="F4640" t="s">
        <v>17</v>
      </c>
      <c r="G4640" t="str">
        <f>"39"</f>
        <v>39</v>
      </c>
      <c r="H4640" t="str">
        <f>"6  "</f>
        <v xml:space="preserve">6  </v>
      </c>
      <c r="I4640" t="str">
        <f>"2018/04/20"</f>
        <v>2018/04/20</v>
      </c>
      <c r="J4640" t="str">
        <f>"502"</f>
        <v>502</v>
      </c>
      <c r="K4640" t="s">
        <v>18</v>
      </c>
      <c r="L4640" t="s">
        <v>18</v>
      </c>
      <c r="M4640" t="str">
        <f>"20180419"</f>
        <v>20180419</v>
      </c>
    </row>
    <row r="4641" spans="1:13" x14ac:dyDescent="0.25">
      <c r="A4641" t="str">
        <f>"00386430"</f>
        <v>00386430</v>
      </c>
      <c r="B4641" t="s">
        <v>276</v>
      </c>
      <c r="C4641" t="s">
        <v>277</v>
      </c>
      <c r="D4641" t="s">
        <v>21</v>
      </c>
      <c r="E4641" t="s">
        <v>26</v>
      </c>
      <c r="F4641" t="s">
        <v>34</v>
      </c>
      <c r="G4641" t="str">
        <f>"39"</f>
        <v>39</v>
      </c>
      <c r="H4641" t="str">
        <f>"6  "</f>
        <v xml:space="preserve">6  </v>
      </c>
      <c r="I4641" t="str">
        <f>"2020/08/12"</f>
        <v>2020/08/12</v>
      </c>
      <c r="J4641" t="str">
        <f>"501"</f>
        <v>501</v>
      </c>
      <c r="K4641" t="s">
        <v>18</v>
      </c>
      <c r="L4641" t="s">
        <v>18</v>
      </c>
      <c r="M4641" t="str">
        <f>"20200812"</f>
        <v>20200812</v>
      </c>
    </row>
    <row r="4642" spans="1:13" x14ac:dyDescent="0.25">
      <c r="A4642" t="str">
        <f>"00698469"</f>
        <v>00698469</v>
      </c>
      <c r="B4642" t="s">
        <v>276</v>
      </c>
      <c r="C4642" t="s">
        <v>251</v>
      </c>
      <c r="D4642" t="s">
        <v>45</v>
      </c>
      <c r="E4642" t="s">
        <v>26</v>
      </c>
      <c r="F4642" t="s">
        <v>17</v>
      </c>
      <c r="G4642" t="str">
        <f>"39"</f>
        <v>39</v>
      </c>
      <c r="H4642" t="str">
        <f>"6  "</f>
        <v xml:space="preserve">6  </v>
      </c>
      <c r="I4642" t="str">
        <f>"2013/11/19"</f>
        <v>2013/11/19</v>
      </c>
      <c r="J4642" t="str">
        <f>"510"</f>
        <v>510</v>
      </c>
      <c r="K4642" t="s">
        <v>18</v>
      </c>
      <c r="L4642" t="s">
        <v>18</v>
      </c>
      <c r="M4642" t="str">
        <f>"20131119"</f>
        <v>20131119</v>
      </c>
    </row>
    <row r="4643" spans="1:13" x14ac:dyDescent="0.25">
      <c r="A4643" t="str">
        <f>"00542470"</f>
        <v>00542470</v>
      </c>
      <c r="B4643" t="s">
        <v>371</v>
      </c>
      <c r="C4643" t="s">
        <v>372</v>
      </c>
      <c r="D4643" t="s">
        <v>21</v>
      </c>
      <c r="E4643" t="s">
        <v>26</v>
      </c>
      <c r="F4643" t="s">
        <v>17</v>
      </c>
      <c r="G4643" t="str">
        <f>"39"</f>
        <v>39</v>
      </c>
      <c r="H4643" t="str">
        <f>"6  "</f>
        <v xml:space="preserve">6  </v>
      </c>
      <c r="I4643" t="str">
        <f>"2017/08/16"</f>
        <v>2017/08/16</v>
      </c>
      <c r="J4643" t="str">
        <f>"510"</f>
        <v>510</v>
      </c>
      <c r="K4643" t="s">
        <v>18</v>
      </c>
      <c r="L4643" t="s">
        <v>18</v>
      </c>
      <c r="M4643" t="str">
        <f>"20170816"</f>
        <v>20170816</v>
      </c>
    </row>
    <row r="4644" spans="1:13" x14ac:dyDescent="0.25">
      <c r="A4644" t="str">
        <f>"00704238"</f>
        <v>00704238</v>
      </c>
      <c r="B4644" t="s">
        <v>396</v>
      </c>
      <c r="C4644" t="s">
        <v>399</v>
      </c>
      <c r="D4644" t="s">
        <v>25</v>
      </c>
      <c r="E4644" t="s">
        <v>26</v>
      </c>
      <c r="F4644" t="s">
        <v>17</v>
      </c>
      <c r="G4644" t="str">
        <f>"39"</f>
        <v>39</v>
      </c>
      <c r="H4644" t="str">
        <f>"1  "</f>
        <v xml:space="preserve">1  </v>
      </c>
      <c r="I4644" t="str">
        <f>"2020/08/05"</f>
        <v>2020/08/05</v>
      </c>
      <c r="J4644" t="str">
        <f>"510"</f>
        <v>510</v>
      </c>
      <c r="K4644" t="s">
        <v>18</v>
      </c>
      <c r="L4644" t="s">
        <v>18</v>
      </c>
      <c r="M4644" t="str">
        <f>"20200804"</f>
        <v>20200804</v>
      </c>
    </row>
    <row r="4645" spans="1:13" x14ac:dyDescent="0.25">
      <c r="A4645" t="str">
        <f>"00142757"</f>
        <v>00142757</v>
      </c>
      <c r="B4645" t="s">
        <v>523</v>
      </c>
      <c r="C4645" t="s">
        <v>526</v>
      </c>
      <c r="D4645" t="s">
        <v>80</v>
      </c>
      <c r="E4645" t="s">
        <v>16</v>
      </c>
      <c r="F4645" t="s">
        <v>17</v>
      </c>
      <c r="G4645" t="str">
        <f>"39"</f>
        <v>39</v>
      </c>
      <c r="H4645" t="str">
        <f>"6  "</f>
        <v xml:space="preserve">6  </v>
      </c>
      <c r="I4645" t="str">
        <f>"2012/06/27"</f>
        <v>2012/06/27</v>
      </c>
      <c r="J4645" t="str">
        <f>"534"</f>
        <v>534</v>
      </c>
      <c r="K4645" t="s">
        <v>18</v>
      </c>
      <c r="L4645" t="s">
        <v>18</v>
      </c>
      <c r="M4645" t="str">
        <f>"20090521"</f>
        <v>20090521</v>
      </c>
    </row>
    <row r="4646" spans="1:13" x14ac:dyDescent="0.25">
      <c r="A4646" t="str">
        <f>"00375676"</f>
        <v>00375676</v>
      </c>
      <c r="B4646" t="s">
        <v>634</v>
      </c>
      <c r="C4646" t="s">
        <v>96</v>
      </c>
      <c r="D4646" t="s">
        <v>25</v>
      </c>
      <c r="E4646" t="s">
        <v>26</v>
      </c>
      <c r="F4646" t="s">
        <v>17</v>
      </c>
      <c r="G4646" t="str">
        <f>"39"</f>
        <v>39</v>
      </c>
      <c r="H4646" t="str">
        <f>"6  "</f>
        <v xml:space="preserve">6  </v>
      </c>
      <c r="I4646" t="str">
        <f>"2014/08/12"</f>
        <v>2014/08/12</v>
      </c>
      <c r="J4646" t="str">
        <f>"534"</f>
        <v>534</v>
      </c>
      <c r="K4646" t="s">
        <v>18</v>
      </c>
      <c r="L4646" t="s">
        <v>18</v>
      </c>
      <c r="M4646" t="str">
        <f>"20140812"</f>
        <v>20140812</v>
      </c>
    </row>
    <row r="4647" spans="1:13" x14ac:dyDescent="0.25">
      <c r="A4647" t="str">
        <f>"00475608"</f>
        <v>00475608</v>
      </c>
      <c r="B4647" t="s">
        <v>634</v>
      </c>
      <c r="C4647" t="s">
        <v>59</v>
      </c>
      <c r="D4647" t="s">
        <v>51</v>
      </c>
      <c r="E4647" t="s">
        <v>26</v>
      </c>
      <c r="F4647" t="s">
        <v>17</v>
      </c>
      <c r="G4647" t="str">
        <f>"39"</f>
        <v>39</v>
      </c>
      <c r="H4647" t="str">
        <f>"6  "</f>
        <v xml:space="preserve">6  </v>
      </c>
      <c r="I4647" t="str">
        <f>"2012/06/27"</f>
        <v>2012/06/27</v>
      </c>
      <c r="J4647" t="str">
        <f>"534"</f>
        <v>534</v>
      </c>
      <c r="K4647" t="s">
        <v>18</v>
      </c>
      <c r="L4647" t="s">
        <v>18</v>
      </c>
      <c r="M4647" t="str">
        <f>"20081124"</f>
        <v>20081124</v>
      </c>
    </row>
    <row r="4648" spans="1:13" x14ac:dyDescent="0.25">
      <c r="A4648" t="str">
        <f>"00348379"</f>
        <v>00348379</v>
      </c>
      <c r="B4648" t="s">
        <v>691</v>
      </c>
      <c r="C4648" t="s">
        <v>692</v>
      </c>
      <c r="D4648" t="s">
        <v>21</v>
      </c>
      <c r="E4648" t="s">
        <v>26</v>
      </c>
      <c r="F4648" t="s">
        <v>34</v>
      </c>
      <c r="G4648" t="str">
        <f>"39"</f>
        <v>39</v>
      </c>
      <c r="H4648" t="str">
        <f>"6  "</f>
        <v xml:space="preserve">6  </v>
      </c>
      <c r="I4648" t="str">
        <f>"2019/05/13"</f>
        <v>2019/05/13</v>
      </c>
      <c r="J4648" t="str">
        <f>"501"</f>
        <v>501</v>
      </c>
      <c r="K4648" t="s">
        <v>18</v>
      </c>
      <c r="L4648" t="s">
        <v>18</v>
      </c>
      <c r="M4648" t="str">
        <f>"20190510"</f>
        <v>20190510</v>
      </c>
    </row>
    <row r="4649" spans="1:13" x14ac:dyDescent="0.25">
      <c r="A4649" t="str">
        <f>"00467909"</f>
        <v>00467909</v>
      </c>
      <c r="B4649" t="s">
        <v>700</v>
      </c>
      <c r="C4649" t="s">
        <v>437</v>
      </c>
      <c r="D4649" t="s">
        <v>61</v>
      </c>
      <c r="E4649" t="s">
        <v>26</v>
      </c>
      <c r="F4649" t="s">
        <v>17</v>
      </c>
      <c r="G4649" t="str">
        <f>"39"</f>
        <v>39</v>
      </c>
      <c r="H4649" t="str">
        <f>"6  "</f>
        <v xml:space="preserve">6  </v>
      </c>
      <c r="I4649" t="str">
        <f>"2020/03/19"</f>
        <v>2020/03/19</v>
      </c>
      <c r="J4649" t="str">
        <f>"510"</f>
        <v>510</v>
      </c>
      <c r="K4649" t="s">
        <v>18</v>
      </c>
      <c r="L4649" t="s">
        <v>18</v>
      </c>
      <c r="M4649" t="str">
        <f>"20200317"</f>
        <v>20200317</v>
      </c>
    </row>
    <row r="4650" spans="1:13" x14ac:dyDescent="0.25">
      <c r="A4650" t="str">
        <f>"00630136"</f>
        <v>00630136</v>
      </c>
      <c r="B4650" t="s">
        <v>713</v>
      </c>
      <c r="C4650" t="s">
        <v>715</v>
      </c>
      <c r="D4650" t="s">
        <v>15</v>
      </c>
      <c r="E4650" t="s">
        <v>16</v>
      </c>
      <c r="F4650" t="s">
        <v>17</v>
      </c>
      <c r="G4650" t="str">
        <f>"39"</f>
        <v>39</v>
      </c>
      <c r="H4650" t="str">
        <f>"6  "</f>
        <v xml:space="preserve">6  </v>
      </c>
      <c r="I4650" t="str">
        <f>"2019/11/01"</f>
        <v>2019/11/01</v>
      </c>
      <c r="J4650" t="str">
        <f>"510"</f>
        <v>510</v>
      </c>
      <c r="K4650" t="s">
        <v>18</v>
      </c>
      <c r="L4650" t="s">
        <v>18</v>
      </c>
      <c r="M4650" t="str">
        <f>"20191025"</f>
        <v>20191025</v>
      </c>
    </row>
    <row r="4651" spans="1:13" x14ac:dyDescent="0.25">
      <c r="A4651" t="str">
        <f>"00675713"</f>
        <v>00675713</v>
      </c>
      <c r="B4651" t="s">
        <v>733</v>
      </c>
      <c r="C4651" t="s">
        <v>735</v>
      </c>
      <c r="D4651" t="s">
        <v>182</v>
      </c>
      <c r="E4651" t="s">
        <v>26</v>
      </c>
      <c r="F4651" t="s">
        <v>17</v>
      </c>
      <c r="G4651" t="str">
        <f>"39"</f>
        <v>39</v>
      </c>
      <c r="H4651" t="str">
        <f>"1  "</f>
        <v xml:space="preserve">1  </v>
      </c>
      <c r="I4651" t="str">
        <f>"2019/06/12"</f>
        <v>2019/06/12</v>
      </c>
      <c r="J4651" t="str">
        <f>"510"</f>
        <v>510</v>
      </c>
      <c r="K4651" t="s">
        <v>18</v>
      </c>
      <c r="L4651" t="s">
        <v>18</v>
      </c>
      <c r="M4651" t="str">
        <f>"20190610"</f>
        <v>20190610</v>
      </c>
    </row>
    <row r="4652" spans="1:13" x14ac:dyDescent="0.25">
      <c r="A4652" t="str">
        <f>"00614389"</f>
        <v>00614389</v>
      </c>
      <c r="B4652" t="s">
        <v>742</v>
      </c>
      <c r="C4652" t="s">
        <v>744</v>
      </c>
      <c r="D4652" t="s">
        <v>182</v>
      </c>
      <c r="E4652" t="s">
        <v>16</v>
      </c>
      <c r="F4652" t="s">
        <v>17</v>
      </c>
      <c r="G4652" t="str">
        <f>"39"</f>
        <v>39</v>
      </c>
      <c r="H4652" t="str">
        <f>"6  "</f>
        <v xml:space="preserve">6  </v>
      </c>
      <c r="I4652" t="str">
        <f>"2015/03/02"</f>
        <v>2015/03/02</v>
      </c>
      <c r="J4652" t="str">
        <f>"510"</f>
        <v>510</v>
      </c>
      <c r="K4652" t="s">
        <v>18</v>
      </c>
      <c r="L4652" t="s">
        <v>18</v>
      </c>
      <c r="M4652" t="str">
        <f>"20150225"</f>
        <v>20150225</v>
      </c>
    </row>
    <row r="4653" spans="1:13" x14ac:dyDescent="0.25">
      <c r="A4653" t="str">
        <f>"00824194"</f>
        <v>00824194</v>
      </c>
      <c r="B4653" t="s">
        <v>768</v>
      </c>
      <c r="C4653" t="s">
        <v>36</v>
      </c>
      <c r="D4653" t="s">
        <v>25</v>
      </c>
      <c r="E4653" t="s">
        <v>16</v>
      </c>
      <c r="F4653" t="s">
        <v>17</v>
      </c>
      <c r="G4653" t="str">
        <f>"39"</f>
        <v>39</v>
      </c>
      <c r="H4653" t="str">
        <f>"6  "</f>
        <v xml:space="preserve">6  </v>
      </c>
      <c r="I4653" t="str">
        <f>"2018/01/19"</f>
        <v>2018/01/19</v>
      </c>
      <c r="J4653" t="str">
        <f>"503"</f>
        <v>503</v>
      </c>
      <c r="K4653" t="s">
        <v>18</v>
      </c>
      <c r="L4653" t="s">
        <v>18</v>
      </c>
      <c r="M4653" t="str">
        <f>"20180119"</f>
        <v>20180119</v>
      </c>
    </row>
    <row r="4654" spans="1:13" x14ac:dyDescent="0.25">
      <c r="A4654" t="str">
        <f>"00459331"</f>
        <v>00459331</v>
      </c>
      <c r="B4654" t="s">
        <v>768</v>
      </c>
      <c r="C4654" t="s">
        <v>346</v>
      </c>
      <c r="D4654" t="s">
        <v>15</v>
      </c>
      <c r="E4654" t="s">
        <v>26</v>
      </c>
      <c r="F4654" t="s">
        <v>17</v>
      </c>
      <c r="G4654" t="str">
        <f>"39"</f>
        <v>39</v>
      </c>
      <c r="H4654" t="str">
        <f>"6  "</f>
        <v xml:space="preserve">6  </v>
      </c>
      <c r="I4654" t="str">
        <f>"2016/02/02"</f>
        <v>2016/02/02</v>
      </c>
      <c r="J4654" t="str">
        <f>"502"</f>
        <v>502</v>
      </c>
      <c r="K4654" t="s">
        <v>18</v>
      </c>
      <c r="L4654" t="s">
        <v>18</v>
      </c>
      <c r="M4654" t="str">
        <f>"20160202"</f>
        <v>20160202</v>
      </c>
    </row>
    <row r="4655" spans="1:13" x14ac:dyDescent="0.25">
      <c r="A4655" t="str">
        <f>"00729239"</f>
        <v>00729239</v>
      </c>
      <c r="B4655" t="s">
        <v>824</v>
      </c>
      <c r="C4655" t="s">
        <v>578</v>
      </c>
      <c r="D4655" t="s">
        <v>25</v>
      </c>
      <c r="E4655" t="s">
        <v>26</v>
      </c>
      <c r="F4655" t="s">
        <v>17</v>
      </c>
      <c r="G4655" t="str">
        <f>"39"</f>
        <v>39</v>
      </c>
      <c r="H4655" t="str">
        <f>"1  "</f>
        <v xml:space="preserve">1  </v>
      </c>
      <c r="I4655" t="str">
        <f>"2020/05/26"</f>
        <v>2020/05/26</v>
      </c>
      <c r="J4655" t="str">
        <f>"502"</f>
        <v>502</v>
      </c>
      <c r="K4655" t="s">
        <v>18</v>
      </c>
      <c r="L4655" t="s">
        <v>18</v>
      </c>
      <c r="M4655" t="str">
        <f>"20200526"</f>
        <v>20200526</v>
      </c>
    </row>
    <row r="4656" spans="1:13" x14ac:dyDescent="0.25">
      <c r="A4656" t="str">
        <f>"00731540"</f>
        <v>00731540</v>
      </c>
      <c r="B4656" t="s">
        <v>826</v>
      </c>
      <c r="C4656" t="s">
        <v>829</v>
      </c>
      <c r="D4656" t="s">
        <v>25</v>
      </c>
      <c r="E4656" t="s">
        <v>26</v>
      </c>
      <c r="F4656" t="s">
        <v>17</v>
      </c>
      <c r="G4656" t="str">
        <f>"39"</f>
        <v>39</v>
      </c>
      <c r="H4656" t="str">
        <f>"6  "</f>
        <v xml:space="preserve">6  </v>
      </c>
      <c r="I4656" t="str">
        <f>"2018/01/23"</f>
        <v>2018/01/23</v>
      </c>
      <c r="J4656" t="str">
        <f>"510"</f>
        <v>510</v>
      </c>
      <c r="K4656" t="s">
        <v>18</v>
      </c>
      <c r="L4656" t="s">
        <v>18</v>
      </c>
      <c r="M4656" t="str">
        <f>"20180123"</f>
        <v>20180123</v>
      </c>
    </row>
    <row r="4657" spans="1:13" x14ac:dyDescent="0.25">
      <c r="A4657" t="str">
        <f>"00514381"</f>
        <v>00514381</v>
      </c>
      <c r="B4657" t="s">
        <v>851</v>
      </c>
      <c r="C4657" t="s">
        <v>346</v>
      </c>
      <c r="D4657" t="s">
        <v>15</v>
      </c>
      <c r="E4657" t="s">
        <v>16</v>
      </c>
      <c r="F4657" t="s">
        <v>17</v>
      </c>
      <c r="G4657" t="str">
        <f>"39"</f>
        <v>39</v>
      </c>
      <c r="H4657" t="str">
        <f>"1  "</f>
        <v xml:space="preserve">1  </v>
      </c>
      <c r="I4657" t="str">
        <f>"2013/10/21"</f>
        <v>2013/10/21</v>
      </c>
      <c r="J4657" t="str">
        <f>"502"</f>
        <v>502</v>
      </c>
      <c r="K4657" t="s">
        <v>18</v>
      </c>
      <c r="L4657" t="s">
        <v>18</v>
      </c>
      <c r="M4657" t="str">
        <f>"20131018"</f>
        <v>20131018</v>
      </c>
    </row>
    <row r="4658" spans="1:13" x14ac:dyDescent="0.25">
      <c r="A4658" t="str">
        <f>"00201979"</f>
        <v>00201979</v>
      </c>
      <c r="B4658" t="s">
        <v>877</v>
      </c>
      <c r="C4658" t="s">
        <v>878</v>
      </c>
      <c r="D4658" t="s">
        <v>51</v>
      </c>
      <c r="E4658" t="s">
        <v>26</v>
      </c>
      <c r="F4658" t="s">
        <v>17</v>
      </c>
      <c r="G4658" t="str">
        <f>"39"</f>
        <v>39</v>
      </c>
      <c r="H4658" t="str">
        <f>"6  "</f>
        <v xml:space="preserve">6  </v>
      </c>
      <c r="I4658" t="str">
        <f>"2018/02/16"</f>
        <v>2018/02/16</v>
      </c>
      <c r="J4658" t="str">
        <f>"502"</f>
        <v>502</v>
      </c>
      <c r="K4658" t="s">
        <v>18</v>
      </c>
      <c r="L4658" t="s">
        <v>18</v>
      </c>
      <c r="M4658" t="str">
        <f>"20180216"</f>
        <v>20180216</v>
      </c>
    </row>
    <row r="4659" spans="1:13" x14ac:dyDescent="0.25">
      <c r="A4659" t="str">
        <f>"00633942"</f>
        <v>00633942</v>
      </c>
      <c r="B4659" t="s">
        <v>915</v>
      </c>
      <c r="C4659" t="s">
        <v>677</v>
      </c>
      <c r="D4659" t="s">
        <v>25</v>
      </c>
      <c r="E4659" t="s">
        <v>16</v>
      </c>
      <c r="F4659" t="s">
        <v>17</v>
      </c>
      <c r="G4659" t="str">
        <f>"39"</f>
        <v>39</v>
      </c>
      <c r="H4659" t="str">
        <f>"1  "</f>
        <v xml:space="preserve">1  </v>
      </c>
      <c r="I4659" t="str">
        <f>"2018/04/05"</f>
        <v>2018/04/05</v>
      </c>
      <c r="J4659" t="str">
        <f>"503"</f>
        <v>503</v>
      </c>
      <c r="K4659" t="s">
        <v>18</v>
      </c>
      <c r="L4659" t="s">
        <v>18</v>
      </c>
      <c r="M4659" t="str">
        <f>"20180405"</f>
        <v>20180405</v>
      </c>
    </row>
    <row r="4660" spans="1:13" x14ac:dyDescent="0.25">
      <c r="A4660" t="str">
        <f>"00779478"</f>
        <v>00779478</v>
      </c>
      <c r="B4660" t="s">
        <v>945</v>
      </c>
      <c r="C4660" t="s">
        <v>946</v>
      </c>
      <c r="D4660" t="s">
        <v>21</v>
      </c>
      <c r="E4660" t="s">
        <v>26</v>
      </c>
      <c r="F4660" t="s">
        <v>17</v>
      </c>
      <c r="G4660" t="str">
        <f>"39"</f>
        <v>39</v>
      </c>
      <c r="H4660" t="str">
        <f>"6  "</f>
        <v xml:space="preserve">6  </v>
      </c>
      <c r="I4660" t="str">
        <f>"2016/01/18"</f>
        <v>2016/01/18</v>
      </c>
      <c r="J4660" t="str">
        <f>"510"</f>
        <v>510</v>
      </c>
      <c r="K4660" t="s">
        <v>18</v>
      </c>
      <c r="L4660" t="s">
        <v>18</v>
      </c>
      <c r="M4660" t="str">
        <f>"20160118"</f>
        <v>20160118</v>
      </c>
    </row>
    <row r="4661" spans="1:13" x14ac:dyDescent="0.25">
      <c r="A4661" t="str">
        <f>"00274907"</f>
        <v>00274907</v>
      </c>
      <c r="B4661" t="s">
        <v>1022</v>
      </c>
      <c r="C4661" t="s">
        <v>14</v>
      </c>
      <c r="D4661" t="s">
        <v>37</v>
      </c>
      <c r="E4661" t="s">
        <v>26</v>
      </c>
      <c r="F4661" t="s">
        <v>17</v>
      </c>
      <c r="G4661" t="str">
        <f>"39"</f>
        <v>39</v>
      </c>
      <c r="H4661" t="str">
        <f>"1  "</f>
        <v xml:space="preserve">1  </v>
      </c>
      <c r="I4661" t="str">
        <f>"2019/04/12"</f>
        <v>2019/04/12</v>
      </c>
      <c r="J4661" t="str">
        <f>"502"</f>
        <v>502</v>
      </c>
      <c r="K4661" t="s">
        <v>18</v>
      </c>
      <c r="L4661" t="s">
        <v>18</v>
      </c>
      <c r="M4661" t="str">
        <f>"20190412"</f>
        <v>20190412</v>
      </c>
    </row>
    <row r="4662" spans="1:13" x14ac:dyDescent="0.25">
      <c r="A4662" t="str">
        <f>"00545041"</f>
        <v>00545041</v>
      </c>
      <c r="B4662" t="s">
        <v>1117</v>
      </c>
      <c r="C4662" t="s">
        <v>1121</v>
      </c>
      <c r="D4662" t="s">
        <v>15</v>
      </c>
      <c r="E4662" t="s">
        <v>26</v>
      </c>
      <c r="F4662" t="s">
        <v>17</v>
      </c>
      <c r="G4662" t="str">
        <f>"39"</f>
        <v>39</v>
      </c>
      <c r="H4662" t="str">
        <f>"1  "</f>
        <v xml:space="preserve">1  </v>
      </c>
      <c r="I4662" t="str">
        <f>"2020/07/08"</f>
        <v>2020/07/08</v>
      </c>
      <c r="J4662" t="str">
        <f>"510"</f>
        <v>510</v>
      </c>
      <c r="K4662" t="s">
        <v>18</v>
      </c>
      <c r="L4662" t="s">
        <v>18</v>
      </c>
      <c r="M4662" t="str">
        <f>"20200707"</f>
        <v>20200707</v>
      </c>
    </row>
    <row r="4663" spans="1:13" x14ac:dyDescent="0.25">
      <c r="A4663" t="str">
        <f>"00182246"</f>
        <v>00182246</v>
      </c>
      <c r="B4663" t="s">
        <v>1146</v>
      </c>
      <c r="C4663" t="s">
        <v>1147</v>
      </c>
      <c r="D4663" t="s">
        <v>61</v>
      </c>
      <c r="E4663" t="s">
        <v>16</v>
      </c>
      <c r="F4663" t="s">
        <v>17</v>
      </c>
      <c r="G4663" t="str">
        <f>"39"</f>
        <v>39</v>
      </c>
      <c r="H4663" t="str">
        <f>"6  "</f>
        <v xml:space="preserve">6  </v>
      </c>
      <c r="I4663" t="str">
        <f>"2019/08/01"</f>
        <v>2019/08/01</v>
      </c>
      <c r="J4663" t="str">
        <f>"510"</f>
        <v>510</v>
      </c>
      <c r="K4663" t="s">
        <v>18</v>
      </c>
      <c r="L4663" t="s">
        <v>18</v>
      </c>
      <c r="M4663" t="str">
        <f>"20190801"</f>
        <v>20190801</v>
      </c>
    </row>
    <row r="4664" spans="1:13" x14ac:dyDescent="0.25">
      <c r="A4664" t="str">
        <f>"00726471"</f>
        <v>00726471</v>
      </c>
      <c r="B4664" t="s">
        <v>1180</v>
      </c>
      <c r="C4664" t="s">
        <v>1181</v>
      </c>
      <c r="D4664" t="s">
        <v>61</v>
      </c>
      <c r="E4664" t="s">
        <v>16</v>
      </c>
      <c r="F4664" t="s">
        <v>17</v>
      </c>
      <c r="G4664" t="str">
        <f>"39"</f>
        <v>39</v>
      </c>
      <c r="H4664" t="str">
        <f>"6  "</f>
        <v xml:space="preserve">6  </v>
      </c>
      <c r="I4664" t="str">
        <f>"2020/03/13"</f>
        <v>2020/03/13</v>
      </c>
      <c r="J4664" t="str">
        <f>"510"</f>
        <v>510</v>
      </c>
      <c r="K4664" t="s">
        <v>18</v>
      </c>
      <c r="L4664" t="s">
        <v>18</v>
      </c>
      <c r="M4664" t="str">
        <f>"20200312"</f>
        <v>20200312</v>
      </c>
    </row>
    <row r="4665" spans="1:13" x14ac:dyDescent="0.25">
      <c r="A4665" t="str">
        <f>"00446652"</f>
        <v>00446652</v>
      </c>
      <c r="B4665" t="s">
        <v>1205</v>
      </c>
      <c r="C4665" t="s">
        <v>1206</v>
      </c>
      <c r="D4665" t="s">
        <v>25</v>
      </c>
      <c r="E4665" t="s">
        <v>26</v>
      </c>
      <c r="F4665" t="s">
        <v>17</v>
      </c>
      <c r="G4665" t="str">
        <f>"39"</f>
        <v>39</v>
      </c>
      <c r="H4665" t="str">
        <f>"6  "</f>
        <v xml:space="preserve">6  </v>
      </c>
      <c r="I4665" t="str">
        <f>"2019/12/27"</f>
        <v>2019/12/27</v>
      </c>
      <c r="J4665" t="str">
        <f>"503"</f>
        <v>503</v>
      </c>
      <c r="K4665" t="s">
        <v>18</v>
      </c>
      <c r="L4665" t="s">
        <v>18</v>
      </c>
      <c r="M4665" t="str">
        <f>"20191217"</f>
        <v>20191217</v>
      </c>
    </row>
    <row r="4666" spans="1:13" x14ac:dyDescent="0.25">
      <c r="A4666" t="str">
        <f>"00858714"</f>
        <v>00858714</v>
      </c>
      <c r="B4666" t="s">
        <v>1210</v>
      </c>
      <c r="C4666" t="s">
        <v>1211</v>
      </c>
      <c r="D4666" t="s">
        <v>25</v>
      </c>
      <c r="E4666" t="s">
        <v>26</v>
      </c>
      <c r="F4666" t="s">
        <v>17</v>
      </c>
      <c r="G4666" t="str">
        <f>"39"</f>
        <v>39</v>
      </c>
      <c r="H4666" t="str">
        <f>"1  "</f>
        <v xml:space="preserve">1  </v>
      </c>
      <c r="I4666" t="str">
        <f>"2017/12/08"</f>
        <v>2017/12/08</v>
      </c>
      <c r="J4666" t="str">
        <f>"503"</f>
        <v>503</v>
      </c>
      <c r="K4666" t="s">
        <v>18</v>
      </c>
      <c r="L4666" t="s">
        <v>18</v>
      </c>
      <c r="M4666" t="str">
        <f>"20171207"</f>
        <v>20171207</v>
      </c>
    </row>
    <row r="4667" spans="1:13" x14ac:dyDescent="0.25">
      <c r="A4667" t="str">
        <f>"00546287"</f>
        <v>00546287</v>
      </c>
      <c r="B4667" t="s">
        <v>1216</v>
      </c>
      <c r="C4667" t="s">
        <v>1217</v>
      </c>
      <c r="D4667" t="s">
        <v>97</v>
      </c>
      <c r="E4667" t="s">
        <v>26</v>
      </c>
      <c r="F4667" t="s">
        <v>17</v>
      </c>
      <c r="G4667" t="str">
        <f>"39"</f>
        <v>39</v>
      </c>
      <c r="H4667" t="str">
        <f>"6  "</f>
        <v xml:space="preserve">6  </v>
      </c>
      <c r="I4667" t="str">
        <f>"2015/06/01"</f>
        <v>2015/06/01</v>
      </c>
      <c r="J4667" t="str">
        <f>"510"</f>
        <v>510</v>
      </c>
      <c r="K4667" t="s">
        <v>18</v>
      </c>
      <c r="L4667" t="s">
        <v>18</v>
      </c>
      <c r="M4667" t="str">
        <f>"20150601"</f>
        <v>20150601</v>
      </c>
    </row>
    <row r="4668" spans="1:13" x14ac:dyDescent="0.25">
      <c r="A4668" t="str">
        <f>"00394028"</f>
        <v>00394028</v>
      </c>
      <c r="B4668" t="s">
        <v>1216</v>
      </c>
      <c r="C4668" t="s">
        <v>120</v>
      </c>
      <c r="D4668" t="s">
        <v>25</v>
      </c>
      <c r="E4668" t="s">
        <v>26</v>
      </c>
      <c r="F4668" t="s">
        <v>17</v>
      </c>
      <c r="G4668" t="str">
        <f>"39"</f>
        <v>39</v>
      </c>
      <c r="H4668" t="str">
        <f>"6  "</f>
        <v xml:space="preserve">6  </v>
      </c>
      <c r="I4668" t="str">
        <f>"2015/08/14"</f>
        <v>2015/08/14</v>
      </c>
      <c r="J4668" t="str">
        <f>"552"</f>
        <v>552</v>
      </c>
      <c r="K4668" t="s">
        <v>18</v>
      </c>
      <c r="L4668" t="s">
        <v>18</v>
      </c>
      <c r="M4668" t="str">
        <f>"20150814"</f>
        <v>20150814</v>
      </c>
    </row>
    <row r="4669" spans="1:13" x14ac:dyDescent="0.25">
      <c r="A4669" t="str">
        <f>"00580056"</f>
        <v>00580056</v>
      </c>
      <c r="B4669" t="s">
        <v>1230</v>
      </c>
      <c r="C4669" t="s">
        <v>327</v>
      </c>
      <c r="D4669" t="s">
        <v>31</v>
      </c>
      <c r="E4669" t="s">
        <v>16</v>
      </c>
      <c r="F4669" t="s">
        <v>17</v>
      </c>
      <c r="G4669" t="str">
        <f>"39"</f>
        <v>39</v>
      </c>
      <c r="H4669" t="str">
        <f>"1  "</f>
        <v xml:space="preserve">1  </v>
      </c>
      <c r="I4669" t="str">
        <f>"2019/11/08"</f>
        <v>2019/11/08</v>
      </c>
      <c r="J4669" t="str">
        <f>"510"</f>
        <v>510</v>
      </c>
      <c r="K4669" t="s">
        <v>18</v>
      </c>
      <c r="L4669" t="s">
        <v>18</v>
      </c>
      <c r="M4669" t="str">
        <f>"20191031"</f>
        <v>20191031</v>
      </c>
    </row>
    <row r="4670" spans="1:13" x14ac:dyDescent="0.25">
      <c r="A4670" t="str">
        <f>"00468548"</f>
        <v>00468548</v>
      </c>
      <c r="B4670" t="s">
        <v>1276</v>
      </c>
      <c r="C4670" t="s">
        <v>1277</v>
      </c>
      <c r="D4670" t="s">
        <v>51</v>
      </c>
      <c r="E4670" t="s">
        <v>26</v>
      </c>
      <c r="F4670" t="s">
        <v>17</v>
      </c>
      <c r="G4670" t="str">
        <f>"39"</f>
        <v>39</v>
      </c>
      <c r="H4670" t="str">
        <f>"1  "</f>
        <v xml:space="preserve">1  </v>
      </c>
      <c r="I4670" t="str">
        <f>"2020/02/14"</f>
        <v>2020/02/14</v>
      </c>
      <c r="J4670" t="str">
        <f>"502"</f>
        <v>502</v>
      </c>
      <c r="K4670" t="s">
        <v>18</v>
      </c>
      <c r="L4670" t="s">
        <v>18</v>
      </c>
      <c r="M4670" t="str">
        <f>"20200214"</f>
        <v>20200214</v>
      </c>
    </row>
    <row r="4671" spans="1:13" x14ac:dyDescent="0.25">
      <c r="A4671" t="str">
        <f>"00795075"</f>
        <v>00795075</v>
      </c>
      <c r="B4671" t="s">
        <v>1338</v>
      </c>
      <c r="C4671" t="s">
        <v>1340</v>
      </c>
      <c r="D4671" t="s">
        <v>80</v>
      </c>
      <c r="E4671" t="s">
        <v>16</v>
      </c>
      <c r="F4671" t="s">
        <v>34</v>
      </c>
      <c r="G4671" t="str">
        <f>"39"</f>
        <v>39</v>
      </c>
      <c r="H4671" t="str">
        <f>"6  "</f>
        <v xml:space="preserve">6  </v>
      </c>
      <c r="I4671" t="str">
        <f>"2016/02/18"</f>
        <v>2016/02/18</v>
      </c>
      <c r="J4671" t="str">
        <f>"501"</f>
        <v>501</v>
      </c>
      <c r="K4671" t="s">
        <v>18</v>
      </c>
      <c r="L4671" t="s">
        <v>18</v>
      </c>
      <c r="M4671" t="str">
        <f>"20160218"</f>
        <v>20160218</v>
      </c>
    </row>
    <row r="4672" spans="1:13" x14ac:dyDescent="0.25">
      <c r="A4672" t="str">
        <f>"00678902"</f>
        <v>00678902</v>
      </c>
      <c r="B4672" t="s">
        <v>1350</v>
      </c>
      <c r="C4672" t="s">
        <v>181</v>
      </c>
      <c r="D4672" t="s">
        <v>40</v>
      </c>
      <c r="E4672" t="s">
        <v>26</v>
      </c>
      <c r="F4672" t="s">
        <v>17</v>
      </c>
      <c r="G4672" t="str">
        <f>"39"</f>
        <v>39</v>
      </c>
      <c r="H4672" t="str">
        <f>"6  "</f>
        <v xml:space="preserve">6  </v>
      </c>
      <c r="I4672" t="str">
        <f>"2012/06/27"</f>
        <v>2012/06/27</v>
      </c>
      <c r="J4672" t="str">
        <f>"534"</f>
        <v>534</v>
      </c>
      <c r="K4672" t="s">
        <v>18</v>
      </c>
      <c r="L4672" t="s">
        <v>18</v>
      </c>
      <c r="M4672" t="str">
        <f>"20120113"</f>
        <v>20120113</v>
      </c>
    </row>
    <row r="4673" spans="1:13" x14ac:dyDescent="0.25">
      <c r="A4673" t="str">
        <f>"00257221"</f>
        <v>00257221</v>
      </c>
      <c r="B4673" t="s">
        <v>1363</v>
      </c>
      <c r="C4673" t="s">
        <v>488</v>
      </c>
      <c r="D4673" t="s">
        <v>40</v>
      </c>
      <c r="E4673" t="s">
        <v>26</v>
      </c>
      <c r="F4673" t="s">
        <v>17</v>
      </c>
      <c r="G4673" t="str">
        <f>"39"</f>
        <v>39</v>
      </c>
      <c r="H4673" t="str">
        <f>"1  "</f>
        <v xml:space="preserve">1  </v>
      </c>
      <c r="I4673" t="str">
        <f>"2013/07/01"</f>
        <v>2013/07/01</v>
      </c>
      <c r="J4673" t="str">
        <f>"502"</f>
        <v>502</v>
      </c>
      <c r="K4673" t="s">
        <v>18</v>
      </c>
      <c r="L4673" t="s">
        <v>18</v>
      </c>
      <c r="M4673" t="str">
        <f>"20130701"</f>
        <v>20130701</v>
      </c>
    </row>
    <row r="4674" spans="1:13" x14ac:dyDescent="0.25">
      <c r="A4674" t="str">
        <f>"00267011"</f>
        <v>00267011</v>
      </c>
      <c r="B4674" t="s">
        <v>1366</v>
      </c>
      <c r="C4674" t="s">
        <v>136</v>
      </c>
      <c r="D4674" t="s">
        <v>40</v>
      </c>
      <c r="E4674" t="s">
        <v>26</v>
      </c>
      <c r="F4674" t="s">
        <v>17</v>
      </c>
      <c r="G4674" t="str">
        <f>"39"</f>
        <v>39</v>
      </c>
      <c r="H4674" t="str">
        <f>"6  "</f>
        <v xml:space="preserve">6  </v>
      </c>
      <c r="I4674" t="str">
        <f>"2014/08/01"</f>
        <v>2014/08/01</v>
      </c>
      <c r="J4674" t="str">
        <f>"510"</f>
        <v>510</v>
      </c>
      <c r="K4674" t="s">
        <v>18</v>
      </c>
      <c r="L4674" t="s">
        <v>18</v>
      </c>
      <c r="M4674" t="str">
        <f>"20140731"</f>
        <v>20140731</v>
      </c>
    </row>
    <row r="4675" spans="1:13" x14ac:dyDescent="0.25">
      <c r="A4675" t="str">
        <f>"00571698"</f>
        <v>00571698</v>
      </c>
      <c r="B4675" t="s">
        <v>1383</v>
      </c>
      <c r="C4675" t="s">
        <v>1384</v>
      </c>
      <c r="D4675" t="s">
        <v>25</v>
      </c>
      <c r="E4675" t="s">
        <v>16</v>
      </c>
      <c r="F4675" t="s">
        <v>17</v>
      </c>
      <c r="G4675" t="str">
        <f>"39"</f>
        <v>39</v>
      </c>
      <c r="H4675" t="str">
        <f>"6  "</f>
        <v xml:space="preserve">6  </v>
      </c>
      <c r="I4675" t="str">
        <f>"2017/05/15"</f>
        <v>2017/05/15</v>
      </c>
      <c r="J4675" t="str">
        <f>"510"</f>
        <v>510</v>
      </c>
      <c r="K4675" t="s">
        <v>18</v>
      </c>
      <c r="L4675" t="s">
        <v>18</v>
      </c>
      <c r="M4675" t="str">
        <f>"20170515"</f>
        <v>20170515</v>
      </c>
    </row>
    <row r="4676" spans="1:13" x14ac:dyDescent="0.25">
      <c r="A4676" t="str">
        <f>"00722680"</f>
        <v>00722680</v>
      </c>
      <c r="B4676" t="s">
        <v>1420</v>
      </c>
      <c r="C4676" t="s">
        <v>74</v>
      </c>
      <c r="D4676" t="s">
        <v>61</v>
      </c>
      <c r="E4676" t="s">
        <v>26</v>
      </c>
      <c r="F4676" t="s">
        <v>17</v>
      </c>
      <c r="G4676" t="str">
        <f>"39"</f>
        <v>39</v>
      </c>
      <c r="H4676" t="str">
        <f>"1  "</f>
        <v xml:space="preserve">1  </v>
      </c>
      <c r="I4676" t="str">
        <f>"2018/09/13"</f>
        <v>2018/09/13</v>
      </c>
      <c r="J4676" t="str">
        <f>"510"</f>
        <v>510</v>
      </c>
      <c r="K4676" t="s">
        <v>18</v>
      </c>
      <c r="L4676" t="s">
        <v>18</v>
      </c>
      <c r="M4676" t="str">
        <f>"20180913"</f>
        <v>20180913</v>
      </c>
    </row>
    <row r="4677" spans="1:13" x14ac:dyDescent="0.25">
      <c r="A4677" t="str">
        <f>"00602672"</f>
        <v>00602672</v>
      </c>
      <c r="B4677" t="s">
        <v>1421</v>
      </c>
      <c r="C4677" t="s">
        <v>1422</v>
      </c>
      <c r="D4677" t="s">
        <v>25</v>
      </c>
      <c r="E4677" t="s">
        <v>26</v>
      </c>
      <c r="F4677" t="s">
        <v>17</v>
      </c>
      <c r="G4677" t="str">
        <f>"39"</f>
        <v>39</v>
      </c>
      <c r="H4677" t="str">
        <f>"6  "</f>
        <v xml:space="preserve">6  </v>
      </c>
      <c r="I4677" t="str">
        <f>"2015/01/07"</f>
        <v>2015/01/07</v>
      </c>
      <c r="J4677" t="str">
        <f>"503"</f>
        <v>503</v>
      </c>
      <c r="K4677" t="s">
        <v>18</v>
      </c>
      <c r="L4677" t="s">
        <v>18</v>
      </c>
      <c r="M4677" t="str">
        <f>"20150107"</f>
        <v>20150107</v>
      </c>
    </row>
    <row r="4678" spans="1:13" x14ac:dyDescent="0.25">
      <c r="A4678" t="str">
        <f>"00868055"</f>
        <v>00868055</v>
      </c>
      <c r="B4678" t="s">
        <v>1443</v>
      </c>
      <c r="C4678" t="s">
        <v>1444</v>
      </c>
      <c r="D4678" t="s">
        <v>25</v>
      </c>
      <c r="E4678" t="s">
        <v>16</v>
      </c>
      <c r="F4678" t="s">
        <v>17</v>
      </c>
      <c r="G4678" t="str">
        <f>"39"</f>
        <v>39</v>
      </c>
      <c r="H4678" t="str">
        <f>"1  "</f>
        <v xml:space="preserve">1  </v>
      </c>
      <c r="I4678" t="str">
        <f>"2019/08/05"</f>
        <v>2019/08/05</v>
      </c>
      <c r="J4678" t="str">
        <f>"503"</f>
        <v>503</v>
      </c>
      <c r="K4678" t="s">
        <v>18</v>
      </c>
      <c r="L4678" t="s">
        <v>18</v>
      </c>
      <c r="M4678" t="str">
        <f>"20190804"</f>
        <v>20190804</v>
      </c>
    </row>
    <row r="4679" spans="1:13" x14ac:dyDescent="0.25">
      <c r="A4679" t="str">
        <f>"00480896"</f>
        <v>00480896</v>
      </c>
      <c r="B4679" t="s">
        <v>1455</v>
      </c>
      <c r="C4679" t="s">
        <v>552</v>
      </c>
      <c r="D4679" t="s">
        <v>215</v>
      </c>
      <c r="E4679" t="s">
        <v>26</v>
      </c>
      <c r="F4679" t="s">
        <v>17</v>
      </c>
      <c r="G4679" t="str">
        <f>"39"</f>
        <v>39</v>
      </c>
      <c r="H4679" t="str">
        <f>"1  "</f>
        <v xml:space="preserve">1  </v>
      </c>
      <c r="I4679" t="str">
        <f>"2019/10/08"</f>
        <v>2019/10/08</v>
      </c>
      <c r="J4679" t="str">
        <f>"510"</f>
        <v>510</v>
      </c>
      <c r="K4679" t="s">
        <v>18</v>
      </c>
      <c r="L4679" t="s">
        <v>18</v>
      </c>
      <c r="M4679" t="str">
        <f>"20191008"</f>
        <v>20191008</v>
      </c>
    </row>
    <row r="4680" spans="1:13" x14ac:dyDescent="0.25">
      <c r="A4680" t="str">
        <f>"00212849"</f>
        <v>00212849</v>
      </c>
      <c r="B4680" t="s">
        <v>1505</v>
      </c>
      <c r="C4680" t="s">
        <v>1507</v>
      </c>
      <c r="D4680" t="s">
        <v>16</v>
      </c>
      <c r="E4680" t="s">
        <v>26</v>
      </c>
      <c r="F4680" t="s">
        <v>17</v>
      </c>
      <c r="G4680" t="str">
        <f>"39"</f>
        <v>39</v>
      </c>
      <c r="H4680" t="str">
        <f>"1  "</f>
        <v xml:space="preserve">1  </v>
      </c>
      <c r="I4680" t="str">
        <f>"2018/02/14"</f>
        <v>2018/02/14</v>
      </c>
      <c r="J4680" t="str">
        <f>"502"</f>
        <v>502</v>
      </c>
      <c r="K4680" t="s">
        <v>18</v>
      </c>
      <c r="L4680" t="s">
        <v>18</v>
      </c>
      <c r="M4680" t="str">
        <f>"20180213"</f>
        <v>20180213</v>
      </c>
    </row>
    <row r="4681" spans="1:13" x14ac:dyDescent="0.25">
      <c r="A4681" t="str">
        <f>"00608568"</f>
        <v>00608568</v>
      </c>
      <c r="B4681" t="s">
        <v>1529</v>
      </c>
      <c r="C4681" t="s">
        <v>1530</v>
      </c>
      <c r="D4681" t="s">
        <v>25</v>
      </c>
      <c r="E4681" t="s">
        <v>16</v>
      </c>
      <c r="F4681" t="s">
        <v>34</v>
      </c>
      <c r="G4681" t="str">
        <f>"39"</f>
        <v>39</v>
      </c>
      <c r="H4681" t="str">
        <f>"6  "</f>
        <v xml:space="preserve">6  </v>
      </c>
      <c r="I4681" t="str">
        <f>"2012/06/27"</f>
        <v>2012/06/27</v>
      </c>
      <c r="J4681" t="str">
        <f>"534"</f>
        <v>534</v>
      </c>
      <c r="K4681" t="s">
        <v>18</v>
      </c>
      <c r="L4681" t="s">
        <v>18</v>
      </c>
      <c r="M4681" t="str">
        <f>"20081124"</f>
        <v>20081124</v>
      </c>
    </row>
    <row r="4682" spans="1:13" x14ac:dyDescent="0.25">
      <c r="A4682" t="str">
        <f>"00880150"</f>
        <v>00880150</v>
      </c>
      <c r="B4682" t="s">
        <v>1563</v>
      </c>
      <c r="C4682" t="s">
        <v>1564</v>
      </c>
      <c r="D4682" t="s">
        <v>26</v>
      </c>
      <c r="E4682" t="s">
        <v>16</v>
      </c>
      <c r="F4682" t="s">
        <v>17</v>
      </c>
      <c r="G4682" t="str">
        <f>"39"</f>
        <v>39</v>
      </c>
      <c r="H4682" t="str">
        <f>"1  "</f>
        <v xml:space="preserve">1  </v>
      </c>
      <c r="I4682" t="str">
        <f>"2020/08/24"</f>
        <v>2020/08/24</v>
      </c>
      <c r="J4682" t="str">
        <f>"510"</f>
        <v>510</v>
      </c>
      <c r="K4682" t="s">
        <v>18</v>
      </c>
      <c r="L4682" t="s">
        <v>18</v>
      </c>
      <c r="M4682" t="str">
        <f>"20200822"</f>
        <v>20200822</v>
      </c>
    </row>
    <row r="4683" spans="1:13" x14ac:dyDescent="0.25">
      <c r="A4683" t="str">
        <f>"00361219"</f>
        <v>00361219</v>
      </c>
      <c r="B4683" t="s">
        <v>1572</v>
      </c>
      <c r="C4683" t="s">
        <v>244</v>
      </c>
      <c r="D4683" t="s">
        <v>215</v>
      </c>
      <c r="E4683" t="s">
        <v>16</v>
      </c>
      <c r="F4683" t="s">
        <v>17</v>
      </c>
      <c r="G4683" t="str">
        <f>"39"</f>
        <v>39</v>
      </c>
      <c r="H4683" t="str">
        <f>"1  "</f>
        <v xml:space="preserve">1  </v>
      </c>
      <c r="I4683" t="str">
        <f>"2015/01/05"</f>
        <v>2015/01/05</v>
      </c>
      <c r="J4683" t="str">
        <f>"502"</f>
        <v>502</v>
      </c>
      <c r="K4683" t="s">
        <v>18</v>
      </c>
      <c r="L4683" t="s">
        <v>18</v>
      </c>
      <c r="M4683" t="str">
        <f>"20150105"</f>
        <v>20150105</v>
      </c>
    </row>
    <row r="4684" spans="1:13" x14ac:dyDescent="0.25">
      <c r="A4684" t="str">
        <f>"00261055"</f>
        <v>00261055</v>
      </c>
      <c r="B4684" t="s">
        <v>1572</v>
      </c>
      <c r="C4684" t="s">
        <v>1573</v>
      </c>
      <c r="D4684" t="s">
        <v>37</v>
      </c>
      <c r="E4684" t="s">
        <v>16</v>
      </c>
      <c r="F4684" t="s">
        <v>17</v>
      </c>
      <c r="G4684" t="str">
        <f>"39"</f>
        <v>39</v>
      </c>
      <c r="H4684" t="str">
        <f>"6  "</f>
        <v xml:space="preserve">6  </v>
      </c>
      <c r="I4684" t="str">
        <f>"2012/12/19"</f>
        <v>2012/12/19</v>
      </c>
      <c r="J4684" t="str">
        <f>"503"</f>
        <v>503</v>
      </c>
      <c r="K4684" t="s">
        <v>18</v>
      </c>
      <c r="L4684" t="s">
        <v>18</v>
      </c>
      <c r="M4684" t="str">
        <f>"20121219"</f>
        <v>20121219</v>
      </c>
    </row>
    <row r="4685" spans="1:13" x14ac:dyDescent="0.25">
      <c r="A4685" t="str">
        <f>"00585106"</f>
        <v>00585106</v>
      </c>
      <c r="B4685" t="s">
        <v>1575</v>
      </c>
      <c r="C4685" t="s">
        <v>1576</v>
      </c>
      <c r="D4685" t="s">
        <v>25</v>
      </c>
      <c r="E4685" t="s">
        <v>16</v>
      </c>
      <c r="F4685" t="s">
        <v>17</v>
      </c>
      <c r="G4685" t="str">
        <f>"39"</f>
        <v>39</v>
      </c>
      <c r="H4685" t="str">
        <f>"6  "</f>
        <v xml:space="preserve">6  </v>
      </c>
      <c r="I4685" t="str">
        <f>"2017/08/28"</f>
        <v>2017/08/28</v>
      </c>
      <c r="J4685" t="str">
        <f>"510"</f>
        <v>510</v>
      </c>
      <c r="K4685" t="s">
        <v>18</v>
      </c>
      <c r="L4685" t="s">
        <v>18</v>
      </c>
      <c r="M4685" t="str">
        <f>"20170828"</f>
        <v>20170828</v>
      </c>
    </row>
    <row r="4686" spans="1:13" x14ac:dyDescent="0.25">
      <c r="A4686" t="str">
        <f>"00749869"</f>
        <v>00749869</v>
      </c>
      <c r="B4686" t="s">
        <v>1577</v>
      </c>
      <c r="C4686" t="s">
        <v>1578</v>
      </c>
      <c r="D4686" t="s">
        <v>25</v>
      </c>
      <c r="E4686" t="s">
        <v>16</v>
      </c>
      <c r="F4686" t="s">
        <v>17</v>
      </c>
      <c r="G4686" t="str">
        <f>"39"</f>
        <v>39</v>
      </c>
      <c r="H4686" t="str">
        <f>"6  "</f>
        <v xml:space="preserve">6  </v>
      </c>
      <c r="I4686" t="str">
        <f>"2015/10/05"</f>
        <v>2015/10/05</v>
      </c>
      <c r="J4686" t="str">
        <f>"510"</f>
        <v>510</v>
      </c>
      <c r="K4686" t="s">
        <v>18</v>
      </c>
      <c r="L4686" t="s">
        <v>18</v>
      </c>
      <c r="M4686" t="str">
        <f>"20151005"</f>
        <v>20151005</v>
      </c>
    </row>
    <row r="4687" spans="1:13" x14ac:dyDescent="0.25">
      <c r="A4687" t="str">
        <f>"00517873"</f>
        <v>00517873</v>
      </c>
      <c r="B4687" t="s">
        <v>1580</v>
      </c>
      <c r="C4687" t="s">
        <v>1581</v>
      </c>
      <c r="D4687" t="s">
        <v>25</v>
      </c>
      <c r="E4687" t="s">
        <v>16</v>
      </c>
      <c r="F4687" t="s">
        <v>17</v>
      </c>
      <c r="G4687" t="str">
        <f>"39"</f>
        <v>39</v>
      </c>
      <c r="H4687" t="str">
        <f>"6  "</f>
        <v xml:space="preserve">6  </v>
      </c>
      <c r="I4687" t="str">
        <f>"2012/12/04"</f>
        <v>2012/12/04</v>
      </c>
      <c r="J4687" t="str">
        <f>"502"</f>
        <v>502</v>
      </c>
      <c r="K4687" t="s">
        <v>18</v>
      </c>
      <c r="L4687" t="s">
        <v>18</v>
      </c>
      <c r="M4687" t="str">
        <f>"20121204"</f>
        <v>20121204</v>
      </c>
    </row>
    <row r="4688" spans="1:13" x14ac:dyDescent="0.25">
      <c r="A4688" t="str">
        <f>"00697358"</f>
        <v>00697358</v>
      </c>
      <c r="B4688" t="s">
        <v>1585</v>
      </c>
      <c r="C4688" t="s">
        <v>169</v>
      </c>
      <c r="D4688" t="s">
        <v>40</v>
      </c>
      <c r="E4688" t="s">
        <v>26</v>
      </c>
      <c r="F4688" t="s">
        <v>17</v>
      </c>
      <c r="G4688" t="str">
        <f>"39"</f>
        <v>39</v>
      </c>
      <c r="H4688" t="str">
        <f>"6  "</f>
        <v xml:space="preserve">6  </v>
      </c>
      <c r="I4688" t="str">
        <f>"2019/06/04"</f>
        <v>2019/06/04</v>
      </c>
      <c r="J4688" t="str">
        <f>"503"</f>
        <v>503</v>
      </c>
      <c r="K4688" t="s">
        <v>18</v>
      </c>
      <c r="L4688" t="s">
        <v>18</v>
      </c>
      <c r="M4688" t="str">
        <f>"20190603"</f>
        <v>20190603</v>
      </c>
    </row>
    <row r="4689" spans="1:13" x14ac:dyDescent="0.25">
      <c r="A4689" t="str">
        <f>"00428868"</f>
        <v>00428868</v>
      </c>
      <c r="B4689" t="s">
        <v>1620</v>
      </c>
      <c r="C4689" t="s">
        <v>154</v>
      </c>
      <c r="D4689" t="s">
        <v>25</v>
      </c>
      <c r="E4689" t="s">
        <v>26</v>
      </c>
      <c r="F4689" t="s">
        <v>17</v>
      </c>
      <c r="G4689" t="str">
        <f>"39"</f>
        <v>39</v>
      </c>
      <c r="H4689" t="str">
        <f>"6  "</f>
        <v xml:space="preserve">6  </v>
      </c>
      <c r="I4689" t="str">
        <f>"2013/09/18"</f>
        <v>2013/09/18</v>
      </c>
      <c r="J4689" t="str">
        <f>"502"</f>
        <v>502</v>
      </c>
      <c r="K4689" t="s">
        <v>18</v>
      </c>
      <c r="L4689" t="s">
        <v>18</v>
      </c>
      <c r="M4689" t="str">
        <f>"20130918"</f>
        <v>20130918</v>
      </c>
    </row>
    <row r="4690" spans="1:13" x14ac:dyDescent="0.25">
      <c r="A4690" t="str">
        <f>"00233600"</f>
        <v>00233600</v>
      </c>
      <c r="B4690" t="s">
        <v>1630</v>
      </c>
      <c r="C4690" t="s">
        <v>140</v>
      </c>
      <c r="D4690" t="s">
        <v>51</v>
      </c>
      <c r="E4690" t="s">
        <v>26</v>
      </c>
      <c r="F4690" t="s">
        <v>17</v>
      </c>
      <c r="G4690" t="str">
        <f>"39"</f>
        <v>39</v>
      </c>
      <c r="H4690" t="str">
        <f>"6  "</f>
        <v xml:space="preserve">6  </v>
      </c>
      <c r="I4690" t="str">
        <f>"2012/07/26"</f>
        <v>2012/07/26</v>
      </c>
      <c r="J4690" t="str">
        <f>"514"</f>
        <v>514</v>
      </c>
      <c r="K4690" t="s">
        <v>18</v>
      </c>
      <c r="L4690" t="s">
        <v>18</v>
      </c>
      <c r="M4690" t="str">
        <f>"20050406"</f>
        <v>20050406</v>
      </c>
    </row>
    <row r="4691" spans="1:13" x14ac:dyDescent="0.25">
      <c r="A4691" t="str">
        <f>"00775997"</f>
        <v>00775997</v>
      </c>
      <c r="B4691" t="s">
        <v>1664</v>
      </c>
      <c r="C4691" t="s">
        <v>66</v>
      </c>
      <c r="D4691" t="s">
        <v>61</v>
      </c>
      <c r="E4691" t="s">
        <v>16</v>
      </c>
      <c r="F4691" t="s">
        <v>17</v>
      </c>
      <c r="G4691" t="str">
        <f>"39"</f>
        <v>39</v>
      </c>
      <c r="H4691" t="str">
        <f>"6  "</f>
        <v xml:space="preserve">6  </v>
      </c>
      <c r="I4691" t="str">
        <f>"2018/09/21"</f>
        <v>2018/09/21</v>
      </c>
      <c r="J4691" t="str">
        <f>"510"</f>
        <v>510</v>
      </c>
      <c r="K4691" t="s">
        <v>18</v>
      </c>
      <c r="L4691" t="s">
        <v>18</v>
      </c>
      <c r="M4691" t="str">
        <f>"20180921"</f>
        <v>20180921</v>
      </c>
    </row>
    <row r="4692" spans="1:13" x14ac:dyDescent="0.25">
      <c r="A4692" t="str">
        <f>"00576081"</f>
        <v>00576081</v>
      </c>
      <c r="B4692" t="s">
        <v>1717</v>
      </c>
      <c r="C4692" t="s">
        <v>1189</v>
      </c>
      <c r="D4692" t="s">
        <v>25</v>
      </c>
      <c r="E4692" t="s">
        <v>26</v>
      </c>
      <c r="F4692" t="s">
        <v>17</v>
      </c>
      <c r="G4692" t="str">
        <f>"39"</f>
        <v>39</v>
      </c>
      <c r="H4692" t="str">
        <f>"6  "</f>
        <v xml:space="preserve">6  </v>
      </c>
      <c r="I4692" t="str">
        <f>"2012/11/07"</f>
        <v>2012/11/07</v>
      </c>
      <c r="J4692" t="str">
        <f>"510"</f>
        <v>510</v>
      </c>
      <c r="K4692" t="s">
        <v>18</v>
      </c>
      <c r="L4692" t="s">
        <v>18</v>
      </c>
      <c r="M4692" t="str">
        <f>"20121107"</f>
        <v>20121107</v>
      </c>
    </row>
    <row r="4693" spans="1:13" x14ac:dyDescent="0.25">
      <c r="A4693" t="str">
        <f>"00412169"</f>
        <v>00412169</v>
      </c>
      <c r="B4693" t="s">
        <v>1733</v>
      </c>
      <c r="C4693" t="s">
        <v>66</v>
      </c>
      <c r="D4693" t="s">
        <v>40</v>
      </c>
      <c r="E4693" t="s">
        <v>16</v>
      </c>
      <c r="F4693" t="s">
        <v>17</v>
      </c>
      <c r="G4693" t="str">
        <f>"39"</f>
        <v>39</v>
      </c>
      <c r="H4693" t="str">
        <f>"6  "</f>
        <v xml:space="preserve">6  </v>
      </c>
      <c r="I4693" t="str">
        <f>"2012/06/27"</f>
        <v>2012/06/27</v>
      </c>
      <c r="J4693" t="str">
        <f>"534"</f>
        <v>534</v>
      </c>
      <c r="K4693" t="s">
        <v>18</v>
      </c>
      <c r="L4693" t="s">
        <v>18</v>
      </c>
      <c r="M4693" t="str">
        <f>"20080319"</f>
        <v>20080319</v>
      </c>
    </row>
    <row r="4694" spans="1:13" x14ac:dyDescent="0.25">
      <c r="A4694" t="str">
        <f>"00342770"</f>
        <v>00342770</v>
      </c>
      <c r="B4694" t="s">
        <v>1796</v>
      </c>
      <c r="C4694" t="s">
        <v>897</v>
      </c>
      <c r="D4694" t="s">
        <v>37</v>
      </c>
      <c r="E4694" t="s">
        <v>26</v>
      </c>
      <c r="F4694" t="s">
        <v>17</v>
      </c>
      <c r="G4694" t="str">
        <f>"39"</f>
        <v>39</v>
      </c>
      <c r="H4694" t="str">
        <f>"6  "</f>
        <v xml:space="preserve">6  </v>
      </c>
      <c r="I4694" t="str">
        <f>"2020/03/23"</f>
        <v>2020/03/23</v>
      </c>
      <c r="J4694" t="str">
        <f>"510"</f>
        <v>510</v>
      </c>
      <c r="K4694" t="s">
        <v>18</v>
      </c>
      <c r="L4694" t="s">
        <v>18</v>
      </c>
      <c r="M4694" t="str">
        <f>"20200323"</f>
        <v>20200323</v>
      </c>
    </row>
    <row r="4695" spans="1:13" x14ac:dyDescent="0.25">
      <c r="A4695" t="str">
        <f>"00719226"</f>
        <v>00719226</v>
      </c>
      <c r="B4695" t="s">
        <v>1879</v>
      </c>
      <c r="C4695" t="s">
        <v>936</v>
      </c>
      <c r="D4695" t="s">
        <v>215</v>
      </c>
      <c r="E4695" t="s">
        <v>26</v>
      </c>
      <c r="F4695" t="s">
        <v>17</v>
      </c>
      <c r="G4695" t="str">
        <f>"39"</f>
        <v>39</v>
      </c>
      <c r="H4695" t="str">
        <f>"6  "</f>
        <v xml:space="preserve">6  </v>
      </c>
      <c r="I4695" t="str">
        <f>"2019/02/26"</f>
        <v>2019/02/26</v>
      </c>
      <c r="J4695" t="str">
        <f>"510"</f>
        <v>510</v>
      </c>
      <c r="K4695" t="s">
        <v>18</v>
      </c>
      <c r="L4695" t="s">
        <v>18</v>
      </c>
      <c r="M4695" t="str">
        <f>"20190225"</f>
        <v>20190225</v>
      </c>
    </row>
    <row r="4696" spans="1:13" x14ac:dyDescent="0.25">
      <c r="A4696" t="str">
        <f>"00148664"</f>
        <v>00148664</v>
      </c>
      <c r="B4696" t="s">
        <v>1879</v>
      </c>
      <c r="C4696" t="s">
        <v>96</v>
      </c>
      <c r="D4696" t="s">
        <v>80</v>
      </c>
      <c r="E4696" t="s">
        <v>16</v>
      </c>
      <c r="F4696" t="s">
        <v>17</v>
      </c>
      <c r="G4696" t="str">
        <f>"39"</f>
        <v>39</v>
      </c>
      <c r="H4696" t="str">
        <f>"6  "</f>
        <v xml:space="preserve">6  </v>
      </c>
      <c r="I4696" t="str">
        <f>"2019/12/27"</f>
        <v>2019/12/27</v>
      </c>
      <c r="J4696" t="str">
        <f>"503"</f>
        <v>503</v>
      </c>
      <c r="K4696" t="s">
        <v>18</v>
      </c>
      <c r="L4696" t="s">
        <v>18</v>
      </c>
      <c r="M4696" t="str">
        <f>"20191223"</f>
        <v>20191223</v>
      </c>
    </row>
    <row r="4697" spans="1:13" x14ac:dyDescent="0.25">
      <c r="A4697" t="str">
        <f>"00253078"</f>
        <v>00253078</v>
      </c>
      <c r="B4697" t="s">
        <v>1887</v>
      </c>
      <c r="C4697" t="s">
        <v>883</v>
      </c>
      <c r="D4697" t="s">
        <v>15</v>
      </c>
      <c r="E4697" t="s">
        <v>16</v>
      </c>
      <c r="F4697" t="s">
        <v>17</v>
      </c>
      <c r="G4697" t="str">
        <f>"39"</f>
        <v>39</v>
      </c>
      <c r="H4697" t="str">
        <f>"6  "</f>
        <v xml:space="preserve">6  </v>
      </c>
      <c r="I4697" t="str">
        <f>"2020/09/01"</f>
        <v>2020/09/01</v>
      </c>
      <c r="J4697" t="str">
        <f>"510"</f>
        <v>510</v>
      </c>
      <c r="K4697" t="s">
        <v>18</v>
      </c>
      <c r="L4697" t="s">
        <v>18</v>
      </c>
      <c r="M4697" t="str">
        <f>"20200830"</f>
        <v>20200830</v>
      </c>
    </row>
    <row r="4698" spans="1:13" x14ac:dyDescent="0.25">
      <c r="A4698" t="str">
        <f>"00321524"</f>
        <v>00321524</v>
      </c>
      <c r="B4698" t="s">
        <v>1898</v>
      </c>
      <c r="C4698" t="s">
        <v>74</v>
      </c>
      <c r="D4698" t="s">
        <v>80</v>
      </c>
      <c r="E4698" t="s">
        <v>26</v>
      </c>
      <c r="F4698" t="s">
        <v>17</v>
      </c>
      <c r="G4698" t="str">
        <f>"39"</f>
        <v>39</v>
      </c>
      <c r="H4698" t="str">
        <f>"6  "</f>
        <v xml:space="preserve">6  </v>
      </c>
      <c r="I4698" t="str">
        <f>"2020/08/31"</f>
        <v>2020/08/31</v>
      </c>
      <c r="J4698" t="str">
        <f>"503"</f>
        <v>503</v>
      </c>
      <c r="K4698" t="s">
        <v>18</v>
      </c>
      <c r="L4698" t="s">
        <v>18</v>
      </c>
      <c r="M4698" t="str">
        <f>"20200831"</f>
        <v>20200831</v>
      </c>
    </row>
    <row r="4699" spans="1:13" x14ac:dyDescent="0.25">
      <c r="A4699" t="str">
        <f>"00791611"</f>
        <v>00791611</v>
      </c>
      <c r="B4699" t="s">
        <v>1907</v>
      </c>
      <c r="C4699" t="s">
        <v>316</v>
      </c>
      <c r="D4699" t="s">
        <v>45</v>
      </c>
      <c r="E4699" t="s">
        <v>16</v>
      </c>
      <c r="F4699" t="s">
        <v>17</v>
      </c>
      <c r="G4699" t="str">
        <f>"39"</f>
        <v>39</v>
      </c>
      <c r="H4699" t="str">
        <f>"1  "</f>
        <v xml:space="preserve">1  </v>
      </c>
      <c r="I4699" t="str">
        <f>"2018/09/25"</f>
        <v>2018/09/25</v>
      </c>
      <c r="J4699" t="str">
        <f>"510"</f>
        <v>510</v>
      </c>
      <c r="K4699" t="s">
        <v>18</v>
      </c>
      <c r="L4699" t="s">
        <v>18</v>
      </c>
      <c r="M4699" t="str">
        <f>"20180925"</f>
        <v>20180925</v>
      </c>
    </row>
    <row r="4700" spans="1:13" x14ac:dyDescent="0.25">
      <c r="A4700" t="str">
        <f>"00782487"</f>
        <v>00782487</v>
      </c>
      <c r="B4700" t="s">
        <v>1910</v>
      </c>
      <c r="C4700" t="s">
        <v>1911</v>
      </c>
      <c r="D4700" t="s">
        <v>25</v>
      </c>
      <c r="E4700" t="s">
        <v>26</v>
      </c>
      <c r="F4700" t="s">
        <v>17</v>
      </c>
      <c r="G4700" t="str">
        <f>"39"</f>
        <v>39</v>
      </c>
      <c r="H4700" t="str">
        <f>"6  "</f>
        <v xml:space="preserve">6  </v>
      </c>
      <c r="I4700" t="str">
        <f>"2016/09/19"</f>
        <v>2016/09/19</v>
      </c>
      <c r="J4700" t="str">
        <f>"510"</f>
        <v>510</v>
      </c>
      <c r="K4700" t="s">
        <v>18</v>
      </c>
      <c r="L4700" t="s">
        <v>18</v>
      </c>
      <c r="M4700" t="str">
        <f>"20160919"</f>
        <v>20160919</v>
      </c>
    </row>
    <row r="4701" spans="1:13" x14ac:dyDescent="0.25">
      <c r="A4701" t="str">
        <f>"00662904"</f>
        <v>00662904</v>
      </c>
      <c r="B4701" t="s">
        <v>1958</v>
      </c>
      <c r="C4701" t="s">
        <v>1959</v>
      </c>
      <c r="D4701" t="s">
        <v>456</v>
      </c>
      <c r="E4701" t="s">
        <v>16</v>
      </c>
      <c r="F4701" t="s">
        <v>34</v>
      </c>
      <c r="G4701" t="str">
        <f>"39"</f>
        <v>39</v>
      </c>
      <c r="H4701" t="str">
        <f>"1  "</f>
        <v xml:space="preserve">1  </v>
      </c>
      <c r="I4701" t="str">
        <f>"2019/11/21"</f>
        <v>2019/11/21</v>
      </c>
      <c r="J4701" t="str">
        <f>"501"</f>
        <v>501</v>
      </c>
      <c r="K4701" t="s">
        <v>18</v>
      </c>
      <c r="L4701" t="s">
        <v>18</v>
      </c>
      <c r="M4701" t="str">
        <f>"20191119"</f>
        <v>20191119</v>
      </c>
    </row>
    <row r="4702" spans="1:13" x14ac:dyDescent="0.25">
      <c r="A4702" t="str">
        <f>"00651952"</f>
        <v>00651952</v>
      </c>
      <c r="B4702" t="s">
        <v>1984</v>
      </c>
      <c r="C4702" t="s">
        <v>74</v>
      </c>
      <c r="D4702" t="s">
        <v>61</v>
      </c>
      <c r="E4702" t="s">
        <v>26</v>
      </c>
      <c r="F4702" t="s">
        <v>17</v>
      </c>
      <c r="G4702" t="str">
        <f>"39"</f>
        <v>39</v>
      </c>
      <c r="H4702" t="str">
        <f>"6  "</f>
        <v xml:space="preserve">6  </v>
      </c>
      <c r="I4702" t="str">
        <f>"2018/10/15"</f>
        <v>2018/10/15</v>
      </c>
      <c r="J4702" t="str">
        <f>"510"</f>
        <v>510</v>
      </c>
      <c r="K4702" t="s">
        <v>18</v>
      </c>
      <c r="L4702" t="s">
        <v>18</v>
      </c>
      <c r="M4702" t="str">
        <f>"20181012"</f>
        <v>20181012</v>
      </c>
    </row>
    <row r="4703" spans="1:13" x14ac:dyDescent="0.25">
      <c r="A4703" t="str">
        <f>"00723994"</f>
        <v>00723994</v>
      </c>
      <c r="B4703" t="s">
        <v>1997</v>
      </c>
      <c r="C4703" t="s">
        <v>2001</v>
      </c>
      <c r="D4703" t="s">
        <v>25</v>
      </c>
      <c r="E4703" t="s">
        <v>26</v>
      </c>
      <c r="F4703" t="s">
        <v>17</v>
      </c>
      <c r="G4703" t="str">
        <f>"39"</f>
        <v>39</v>
      </c>
      <c r="H4703" t="str">
        <f>"1  "</f>
        <v xml:space="preserve">1  </v>
      </c>
      <c r="I4703" t="str">
        <f>"2016/08/24"</f>
        <v>2016/08/24</v>
      </c>
      <c r="J4703" t="str">
        <f>"502"</f>
        <v>502</v>
      </c>
      <c r="K4703" t="s">
        <v>18</v>
      </c>
      <c r="L4703" t="s">
        <v>18</v>
      </c>
      <c r="M4703" t="str">
        <f>"20160824"</f>
        <v>20160824</v>
      </c>
    </row>
    <row r="4704" spans="1:13" x14ac:dyDescent="0.25">
      <c r="A4704" t="str">
        <f>"00613297"</f>
        <v>00613297</v>
      </c>
      <c r="B4704" t="s">
        <v>2061</v>
      </c>
      <c r="C4704" t="s">
        <v>2065</v>
      </c>
      <c r="D4704" t="s">
        <v>31</v>
      </c>
      <c r="E4704" t="s">
        <v>26</v>
      </c>
      <c r="F4704" t="s">
        <v>17</v>
      </c>
      <c r="G4704" t="str">
        <f>"39"</f>
        <v>39</v>
      </c>
      <c r="H4704" t="str">
        <f>"6  "</f>
        <v xml:space="preserve">6  </v>
      </c>
      <c r="I4704" t="str">
        <f>"2020/08/20"</f>
        <v>2020/08/20</v>
      </c>
      <c r="J4704" t="str">
        <f>"510"</f>
        <v>510</v>
      </c>
      <c r="K4704" t="s">
        <v>18</v>
      </c>
      <c r="L4704" t="s">
        <v>18</v>
      </c>
      <c r="M4704" t="str">
        <f>"20200819"</f>
        <v>20200819</v>
      </c>
    </row>
    <row r="4705" spans="1:13" x14ac:dyDescent="0.25">
      <c r="A4705" t="str">
        <f>"00232140"</f>
        <v>00232140</v>
      </c>
      <c r="B4705" t="s">
        <v>2073</v>
      </c>
      <c r="C4705" t="s">
        <v>754</v>
      </c>
      <c r="D4705" t="s">
        <v>61</v>
      </c>
      <c r="E4705" t="s">
        <v>26</v>
      </c>
      <c r="F4705" t="s">
        <v>17</v>
      </c>
      <c r="G4705" t="str">
        <f>"39"</f>
        <v>39</v>
      </c>
      <c r="H4705" t="str">
        <f>"6  "</f>
        <v xml:space="preserve">6  </v>
      </c>
      <c r="I4705" t="str">
        <f>"2016/10/28"</f>
        <v>2016/10/28</v>
      </c>
      <c r="J4705" t="str">
        <f>"502"</f>
        <v>502</v>
      </c>
      <c r="K4705" t="s">
        <v>18</v>
      </c>
      <c r="L4705" t="s">
        <v>18</v>
      </c>
      <c r="M4705" t="str">
        <f>"20161027"</f>
        <v>20161027</v>
      </c>
    </row>
    <row r="4706" spans="1:13" x14ac:dyDescent="0.25">
      <c r="A4706" t="str">
        <f>"00444331"</f>
        <v>00444331</v>
      </c>
      <c r="B4706" t="s">
        <v>2085</v>
      </c>
      <c r="C4706" t="s">
        <v>96</v>
      </c>
      <c r="D4706" t="s">
        <v>37</v>
      </c>
      <c r="E4706" t="s">
        <v>26</v>
      </c>
      <c r="F4706" t="s">
        <v>17</v>
      </c>
      <c r="G4706" t="str">
        <f>"39"</f>
        <v>39</v>
      </c>
      <c r="H4706" t="str">
        <f>"6  "</f>
        <v xml:space="preserve">6  </v>
      </c>
      <c r="I4706" t="str">
        <f>"2012/10/10"</f>
        <v>2012/10/10</v>
      </c>
      <c r="J4706" t="str">
        <f>"503"</f>
        <v>503</v>
      </c>
      <c r="K4706" t="s">
        <v>18</v>
      </c>
      <c r="L4706" t="s">
        <v>18</v>
      </c>
      <c r="M4706" t="str">
        <f>"20130120"</f>
        <v>20130120</v>
      </c>
    </row>
    <row r="4707" spans="1:13" x14ac:dyDescent="0.25">
      <c r="A4707" t="str">
        <f>"00604344"</f>
        <v>00604344</v>
      </c>
      <c r="B4707" t="s">
        <v>2100</v>
      </c>
      <c r="C4707" t="s">
        <v>283</v>
      </c>
      <c r="D4707" t="s">
        <v>25</v>
      </c>
      <c r="E4707" t="s">
        <v>16</v>
      </c>
      <c r="F4707" t="s">
        <v>17</v>
      </c>
      <c r="G4707" t="str">
        <f>"39"</f>
        <v>39</v>
      </c>
      <c r="H4707" t="str">
        <f>"1  "</f>
        <v xml:space="preserve">1  </v>
      </c>
      <c r="I4707" t="str">
        <f>"2020/07/09"</f>
        <v>2020/07/09</v>
      </c>
      <c r="J4707" t="str">
        <f>"510"</f>
        <v>510</v>
      </c>
      <c r="K4707" t="s">
        <v>18</v>
      </c>
      <c r="L4707" t="s">
        <v>18</v>
      </c>
      <c r="M4707" t="str">
        <f>"20200708"</f>
        <v>20200708</v>
      </c>
    </row>
    <row r="4708" spans="1:13" x14ac:dyDescent="0.25">
      <c r="A4708" t="str">
        <f>"00463731"</f>
        <v>00463731</v>
      </c>
      <c r="B4708" t="s">
        <v>2122</v>
      </c>
      <c r="C4708" t="s">
        <v>2132</v>
      </c>
      <c r="D4708" t="s">
        <v>51</v>
      </c>
      <c r="E4708" t="s">
        <v>26</v>
      </c>
      <c r="F4708" t="s">
        <v>17</v>
      </c>
      <c r="G4708" t="str">
        <f>"39"</f>
        <v>39</v>
      </c>
      <c r="H4708" t="str">
        <f>"6  "</f>
        <v xml:space="preserve">6  </v>
      </c>
      <c r="I4708" t="str">
        <f>"2019/05/14"</f>
        <v>2019/05/14</v>
      </c>
      <c r="J4708" t="str">
        <f>"512"</f>
        <v>512</v>
      </c>
      <c r="K4708" t="s">
        <v>18</v>
      </c>
      <c r="L4708" t="s">
        <v>18</v>
      </c>
      <c r="M4708" t="str">
        <f>"20190511"</f>
        <v>20190511</v>
      </c>
    </row>
    <row r="4709" spans="1:13" x14ac:dyDescent="0.25">
      <c r="A4709" t="str">
        <f>"00493929"</f>
        <v>00493929</v>
      </c>
      <c r="B4709" t="s">
        <v>2169</v>
      </c>
      <c r="C4709" t="s">
        <v>1339</v>
      </c>
      <c r="D4709" t="s">
        <v>31</v>
      </c>
      <c r="E4709" t="s">
        <v>16</v>
      </c>
      <c r="F4709" t="s">
        <v>17</v>
      </c>
      <c r="G4709" t="str">
        <f>"39"</f>
        <v>39</v>
      </c>
      <c r="H4709" t="str">
        <f>"1  "</f>
        <v xml:space="preserve">1  </v>
      </c>
      <c r="I4709" t="str">
        <f>"2020/06/15"</f>
        <v>2020/06/15</v>
      </c>
      <c r="J4709" t="str">
        <f>"510"</f>
        <v>510</v>
      </c>
      <c r="K4709" t="s">
        <v>18</v>
      </c>
      <c r="L4709" t="s">
        <v>18</v>
      </c>
      <c r="M4709" t="str">
        <f>"20200615"</f>
        <v>20200615</v>
      </c>
    </row>
    <row r="4710" spans="1:13" x14ac:dyDescent="0.25">
      <c r="A4710" t="str">
        <f>"00432505"</f>
        <v>00432505</v>
      </c>
      <c r="B4710" t="s">
        <v>2186</v>
      </c>
      <c r="C4710" t="s">
        <v>124</v>
      </c>
      <c r="D4710" t="s">
        <v>51</v>
      </c>
      <c r="E4710" t="s">
        <v>16</v>
      </c>
      <c r="F4710" t="s">
        <v>17</v>
      </c>
      <c r="G4710" t="str">
        <f>"39"</f>
        <v>39</v>
      </c>
      <c r="H4710" t="str">
        <f>"6  "</f>
        <v xml:space="preserve">6  </v>
      </c>
      <c r="I4710" t="str">
        <f>"2012/06/27"</f>
        <v>2012/06/27</v>
      </c>
      <c r="J4710" t="str">
        <f>"534"</f>
        <v>534</v>
      </c>
      <c r="K4710" t="s">
        <v>18</v>
      </c>
      <c r="L4710" t="s">
        <v>18</v>
      </c>
      <c r="M4710" t="str">
        <f>"20070622"</f>
        <v>20070622</v>
      </c>
    </row>
    <row r="4711" spans="1:13" x14ac:dyDescent="0.25">
      <c r="A4711" t="str">
        <f>"00547708"</f>
        <v>00547708</v>
      </c>
      <c r="B4711" t="s">
        <v>2226</v>
      </c>
      <c r="C4711" t="s">
        <v>136</v>
      </c>
      <c r="D4711" t="s">
        <v>45</v>
      </c>
      <c r="E4711" t="s">
        <v>16</v>
      </c>
      <c r="F4711" t="s">
        <v>17</v>
      </c>
      <c r="G4711" t="str">
        <f>"39"</f>
        <v>39</v>
      </c>
      <c r="H4711" t="str">
        <f>"1  "</f>
        <v xml:space="preserve">1  </v>
      </c>
      <c r="I4711" t="str">
        <f>"2019/09/23"</f>
        <v>2019/09/23</v>
      </c>
      <c r="J4711" t="str">
        <f>"510"</f>
        <v>510</v>
      </c>
      <c r="K4711" t="s">
        <v>18</v>
      </c>
      <c r="L4711" t="s">
        <v>18</v>
      </c>
      <c r="M4711" t="str">
        <f>"20190920"</f>
        <v>20190920</v>
      </c>
    </row>
    <row r="4712" spans="1:13" x14ac:dyDescent="0.25">
      <c r="A4712" t="str">
        <f>"00631271"</f>
        <v>00631271</v>
      </c>
      <c r="B4712" t="s">
        <v>2246</v>
      </c>
      <c r="C4712" t="s">
        <v>2247</v>
      </c>
      <c r="D4712" t="s">
        <v>25</v>
      </c>
      <c r="E4712" t="s">
        <v>16</v>
      </c>
      <c r="F4712" t="s">
        <v>34</v>
      </c>
      <c r="G4712" t="str">
        <f>"39"</f>
        <v>39</v>
      </c>
      <c r="H4712" t="str">
        <f>"6  "</f>
        <v xml:space="preserve">6  </v>
      </c>
      <c r="I4712" t="str">
        <f>"2013/01/31"</f>
        <v>2013/01/31</v>
      </c>
      <c r="J4712" t="str">
        <f>"501"</f>
        <v>501</v>
      </c>
      <c r="K4712" t="s">
        <v>18</v>
      </c>
      <c r="L4712" t="s">
        <v>18</v>
      </c>
      <c r="M4712" t="str">
        <f>"20130131"</f>
        <v>20130131</v>
      </c>
    </row>
    <row r="4713" spans="1:13" x14ac:dyDescent="0.25">
      <c r="A4713" t="str">
        <f>"00629916"</f>
        <v>00629916</v>
      </c>
      <c r="B4713" t="s">
        <v>2260</v>
      </c>
      <c r="C4713" t="s">
        <v>74</v>
      </c>
      <c r="D4713" t="s">
        <v>15</v>
      </c>
      <c r="E4713" t="s">
        <v>16</v>
      </c>
      <c r="F4713" t="s">
        <v>17</v>
      </c>
      <c r="G4713" t="str">
        <f>"39"</f>
        <v>39</v>
      </c>
      <c r="H4713" t="str">
        <f>"1  "</f>
        <v xml:space="preserve">1  </v>
      </c>
      <c r="I4713" t="str">
        <f>"2017/06/08"</f>
        <v>2017/06/08</v>
      </c>
      <c r="J4713" t="str">
        <f>"502"</f>
        <v>502</v>
      </c>
      <c r="K4713" t="s">
        <v>18</v>
      </c>
      <c r="L4713" t="s">
        <v>18</v>
      </c>
      <c r="M4713" t="str">
        <f>"20170608"</f>
        <v>20170608</v>
      </c>
    </row>
    <row r="4714" spans="1:13" x14ac:dyDescent="0.25">
      <c r="A4714" t="str">
        <f>"00723990"</f>
        <v>00723990</v>
      </c>
      <c r="B4714" t="s">
        <v>2269</v>
      </c>
      <c r="C4714" t="s">
        <v>2270</v>
      </c>
      <c r="D4714" t="s">
        <v>51</v>
      </c>
      <c r="E4714" t="s">
        <v>16</v>
      </c>
      <c r="F4714" t="s">
        <v>34</v>
      </c>
      <c r="G4714" t="str">
        <f>"39"</f>
        <v>39</v>
      </c>
      <c r="H4714" t="str">
        <f>"6  "</f>
        <v xml:space="preserve">6  </v>
      </c>
      <c r="I4714" t="str">
        <f>"2016/05/04"</f>
        <v>2016/05/04</v>
      </c>
      <c r="J4714" t="str">
        <f>"501"</f>
        <v>501</v>
      </c>
      <c r="K4714" t="s">
        <v>18</v>
      </c>
      <c r="L4714" t="s">
        <v>18</v>
      </c>
      <c r="M4714" t="str">
        <f>"20160503"</f>
        <v>20160503</v>
      </c>
    </row>
    <row r="4715" spans="1:13" x14ac:dyDescent="0.25">
      <c r="A4715" t="str">
        <f>"00662617"</f>
        <v>00662617</v>
      </c>
      <c r="B4715" t="s">
        <v>2274</v>
      </c>
      <c r="C4715" t="s">
        <v>66</v>
      </c>
      <c r="D4715" t="s">
        <v>51</v>
      </c>
      <c r="E4715" t="s">
        <v>16</v>
      </c>
      <c r="F4715" t="s">
        <v>17</v>
      </c>
      <c r="G4715" t="str">
        <f>"39"</f>
        <v>39</v>
      </c>
      <c r="H4715" t="str">
        <f>"6  "</f>
        <v xml:space="preserve">6  </v>
      </c>
      <c r="I4715" t="str">
        <f>"2014/11/10"</f>
        <v>2014/11/10</v>
      </c>
      <c r="J4715" t="str">
        <f>"510"</f>
        <v>510</v>
      </c>
      <c r="K4715" t="s">
        <v>18</v>
      </c>
      <c r="L4715" t="s">
        <v>18</v>
      </c>
      <c r="M4715" t="str">
        <f>"20141110"</f>
        <v>20141110</v>
      </c>
    </row>
    <row r="4716" spans="1:13" x14ac:dyDescent="0.25">
      <c r="A4716" t="str">
        <f>"00283109"</f>
        <v>00283109</v>
      </c>
      <c r="B4716" t="s">
        <v>2365</v>
      </c>
      <c r="C4716" t="s">
        <v>184</v>
      </c>
      <c r="D4716" t="s">
        <v>25</v>
      </c>
      <c r="E4716" t="s">
        <v>16</v>
      </c>
      <c r="F4716" t="s">
        <v>17</v>
      </c>
      <c r="G4716" t="str">
        <f>"39"</f>
        <v>39</v>
      </c>
      <c r="H4716" t="str">
        <f>"6  "</f>
        <v xml:space="preserve">6  </v>
      </c>
      <c r="I4716" t="str">
        <f>"2014/08/06"</f>
        <v>2014/08/06</v>
      </c>
      <c r="J4716" t="str">
        <f>"502"</f>
        <v>502</v>
      </c>
      <c r="K4716" t="s">
        <v>18</v>
      </c>
      <c r="L4716" t="s">
        <v>18</v>
      </c>
      <c r="M4716" t="str">
        <f>"20140806"</f>
        <v>20140806</v>
      </c>
    </row>
    <row r="4717" spans="1:13" x14ac:dyDescent="0.25">
      <c r="A4717" t="str">
        <f>"00553550"</f>
        <v>00553550</v>
      </c>
      <c r="B4717" t="s">
        <v>2365</v>
      </c>
      <c r="C4717" t="s">
        <v>74</v>
      </c>
      <c r="D4717" t="s">
        <v>53</v>
      </c>
      <c r="E4717" t="s">
        <v>16</v>
      </c>
      <c r="F4717" t="s">
        <v>17</v>
      </c>
      <c r="G4717" t="str">
        <f>"39"</f>
        <v>39</v>
      </c>
      <c r="H4717" t="str">
        <f>"6  "</f>
        <v xml:space="preserve">6  </v>
      </c>
      <c r="I4717" t="str">
        <f>"2012/06/27"</f>
        <v>2012/06/27</v>
      </c>
      <c r="J4717" t="str">
        <f>"534"</f>
        <v>534</v>
      </c>
      <c r="K4717" t="s">
        <v>18</v>
      </c>
      <c r="L4717" t="s">
        <v>18</v>
      </c>
      <c r="M4717" t="str">
        <f>"20101203"</f>
        <v>20101203</v>
      </c>
    </row>
    <row r="4718" spans="1:13" x14ac:dyDescent="0.25">
      <c r="A4718" t="str">
        <f>"00484790"</f>
        <v>00484790</v>
      </c>
      <c r="B4718" t="s">
        <v>2365</v>
      </c>
      <c r="C4718" t="s">
        <v>2369</v>
      </c>
      <c r="D4718" t="s">
        <v>142</v>
      </c>
      <c r="E4718" t="s">
        <v>16</v>
      </c>
      <c r="F4718" t="s">
        <v>17</v>
      </c>
      <c r="G4718" t="str">
        <f>"39"</f>
        <v>39</v>
      </c>
      <c r="H4718" t="str">
        <f>"6  "</f>
        <v xml:space="preserve">6  </v>
      </c>
      <c r="I4718" t="str">
        <f>"2012/06/27"</f>
        <v>2012/06/27</v>
      </c>
      <c r="J4718" t="str">
        <f>"534"</f>
        <v>534</v>
      </c>
      <c r="K4718" t="s">
        <v>18</v>
      </c>
      <c r="L4718" t="s">
        <v>18</v>
      </c>
      <c r="M4718" t="str">
        <f>"20090812"</f>
        <v>20090812</v>
      </c>
    </row>
    <row r="4719" spans="1:13" x14ac:dyDescent="0.25">
      <c r="A4719" t="str">
        <f>"00907876"</f>
        <v>00907876</v>
      </c>
      <c r="B4719" t="s">
        <v>2370</v>
      </c>
      <c r="C4719" t="s">
        <v>2371</v>
      </c>
      <c r="D4719" t="s">
        <v>456</v>
      </c>
      <c r="E4719" t="s">
        <v>16</v>
      </c>
      <c r="F4719" t="s">
        <v>17</v>
      </c>
      <c r="G4719" t="str">
        <f>"39"</f>
        <v>39</v>
      </c>
      <c r="H4719" t="str">
        <f>"6  "</f>
        <v xml:space="preserve">6  </v>
      </c>
      <c r="I4719" t="str">
        <f>"2020/08/10"</f>
        <v>2020/08/10</v>
      </c>
      <c r="J4719" t="str">
        <f>"503"</f>
        <v>503</v>
      </c>
      <c r="K4719" t="s">
        <v>18</v>
      </c>
      <c r="L4719" t="s">
        <v>18</v>
      </c>
      <c r="M4719" t="str">
        <f>"20200810"</f>
        <v>20200810</v>
      </c>
    </row>
    <row r="4720" spans="1:13" x14ac:dyDescent="0.25">
      <c r="A4720" t="str">
        <f>"00609927"</f>
        <v>00609927</v>
      </c>
      <c r="B4720" t="s">
        <v>2373</v>
      </c>
      <c r="C4720" t="s">
        <v>2374</v>
      </c>
      <c r="D4720" t="s">
        <v>25</v>
      </c>
      <c r="E4720" t="s">
        <v>16</v>
      </c>
      <c r="F4720" t="s">
        <v>17</v>
      </c>
      <c r="G4720" t="str">
        <f>"39"</f>
        <v>39</v>
      </c>
      <c r="H4720" t="str">
        <f>"6  "</f>
        <v xml:space="preserve">6  </v>
      </c>
      <c r="I4720" t="str">
        <f>"2018/05/10"</f>
        <v>2018/05/10</v>
      </c>
      <c r="J4720" t="str">
        <f>"503"</f>
        <v>503</v>
      </c>
      <c r="K4720" t="s">
        <v>18</v>
      </c>
      <c r="L4720" t="s">
        <v>18</v>
      </c>
      <c r="M4720" t="str">
        <f>"20180510"</f>
        <v>20180510</v>
      </c>
    </row>
    <row r="4721" spans="1:13" x14ac:dyDescent="0.25">
      <c r="A4721" t="str">
        <f>"00171138"</f>
        <v>00171138</v>
      </c>
      <c r="B4721" t="s">
        <v>2379</v>
      </c>
      <c r="C4721" t="s">
        <v>2380</v>
      </c>
      <c r="D4721" t="s">
        <v>91</v>
      </c>
      <c r="E4721" t="s">
        <v>16</v>
      </c>
      <c r="F4721" t="s">
        <v>17</v>
      </c>
      <c r="G4721" t="str">
        <f>"39"</f>
        <v>39</v>
      </c>
      <c r="H4721" t="str">
        <f>"1  "</f>
        <v xml:space="preserve">1  </v>
      </c>
      <c r="I4721" t="str">
        <f>"2020/01/29"</f>
        <v>2020/01/29</v>
      </c>
      <c r="J4721" t="str">
        <f>"503"</f>
        <v>503</v>
      </c>
      <c r="K4721" t="s">
        <v>18</v>
      </c>
      <c r="L4721" t="s">
        <v>18</v>
      </c>
      <c r="M4721" t="str">
        <f>"20200129"</f>
        <v>20200129</v>
      </c>
    </row>
    <row r="4722" spans="1:13" x14ac:dyDescent="0.25">
      <c r="A4722" t="str">
        <f>"00819822"</f>
        <v>00819822</v>
      </c>
      <c r="B4722" t="s">
        <v>2379</v>
      </c>
      <c r="C4722" t="s">
        <v>661</v>
      </c>
      <c r="D4722" t="s">
        <v>40</v>
      </c>
      <c r="E4722" t="s">
        <v>26</v>
      </c>
      <c r="F4722" t="s">
        <v>17</v>
      </c>
      <c r="G4722" t="str">
        <f>"39"</f>
        <v>39</v>
      </c>
      <c r="H4722" t="str">
        <f>"1  "</f>
        <v xml:space="preserve">1  </v>
      </c>
      <c r="I4722" t="str">
        <f>"2017/07/17"</f>
        <v>2017/07/17</v>
      </c>
      <c r="J4722" t="str">
        <f>"510"</f>
        <v>510</v>
      </c>
      <c r="K4722" t="s">
        <v>18</v>
      </c>
      <c r="L4722" t="s">
        <v>18</v>
      </c>
      <c r="M4722" t="str">
        <f>"20170715"</f>
        <v>20170715</v>
      </c>
    </row>
    <row r="4723" spans="1:13" x14ac:dyDescent="0.25">
      <c r="A4723" t="str">
        <f>"00717216"</f>
        <v>00717216</v>
      </c>
      <c r="B4723" t="s">
        <v>2399</v>
      </c>
      <c r="C4723" t="s">
        <v>2400</v>
      </c>
      <c r="D4723" t="s">
        <v>25</v>
      </c>
      <c r="E4723" t="s">
        <v>16</v>
      </c>
      <c r="F4723" t="s">
        <v>17</v>
      </c>
      <c r="G4723" t="str">
        <f>"39"</f>
        <v>39</v>
      </c>
      <c r="H4723" t="str">
        <f>"1  "</f>
        <v xml:space="preserve">1  </v>
      </c>
      <c r="I4723" t="str">
        <f>"2016/12/05"</f>
        <v>2016/12/05</v>
      </c>
      <c r="J4723" t="str">
        <f>"502"</f>
        <v>502</v>
      </c>
      <c r="K4723" t="s">
        <v>18</v>
      </c>
      <c r="L4723" t="s">
        <v>18</v>
      </c>
      <c r="M4723" t="str">
        <f>"20161205"</f>
        <v>20161205</v>
      </c>
    </row>
    <row r="4724" spans="1:13" x14ac:dyDescent="0.25">
      <c r="A4724" t="str">
        <f>"00493097"</f>
        <v>00493097</v>
      </c>
      <c r="B4724" t="s">
        <v>2450</v>
      </c>
      <c r="C4724" t="s">
        <v>2451</v>
      </c>
      <c r="D4724" t="s">
        <v>25</v>
      </c>
      <c r="E4724" t="s">
        <v>16</v>
      </c>
      <c r="F4724" t="s">
        <v>17</v>
      </c>
      <c r="G4724" t="str">
        <f>"39"</f>
        <v>39</v>
      </c>
      <c r="H4724" t="str">
        <f>"1  "</f>
        <v xml:space="preserve">1  </v>
      </c>
      <c r="I4724" t="str">
        <f>"2018/02/06"</f>
        <v>2018/02/06</v>
      </c>
      <c r="J4724" t="str">
        <f>"503"</f>
        <v>503</v>
      </c>
      <c r="K4724" t="s">
        <v>18</v>
      </c>
      <c r="L4724" t="s">
        <v>18</v>
      </c>
      <c r="M4724" t="str">
        <f>"20180206"</f>
        <v>20180206</v>
      </c>
    </row>
    <row r="4725" spans="1:13" x14ac:dyDescent="0.25">
      <c r="A4725" t="str">
        <f>"00385351"</f>
        <v>00385351</v>
      </c>
      <c r="B4725" t="s">
        <v>2461</v>
      </c>
      <c r="C4725" t="s">
        <v>2462</v>
      </c>
      <c r="D4725" t="s">
        <v>25</v>
      </c>
      <c r="E4725" t="s">
        <v>26</v>
      </c>
      <c r="F4725" t="s">
        <v>17</v>
      </c>
      <c r="G4725" t="str">
        <f>"39"</f>
        <v>39</v>
      </c>
      <c r="H4725" t="str">
        <f>"1  "</f>
        <v xml:space="preserve">1  </v>
      </c>
      <c r="I4725" t="str">
        <f>"2013/06/10"</f>
        <v>2013/06/10</v>
      </c>
      <c r="J4725" t="str">
        <f>"502"</f>
        <v>502</v>
      </c>
      <c r="K4725" t="s">
        <v>18</v>
      </c>
      <c r="L4725" t="s">
        <v>18</v>
      </c>
      <c r="M4725" t="str">
        <f>"20130610"</f>
        <v>20130610</v>
      </c>
    </row>
    <row r="4726" spans="1:13" x14ac:dyDescent="0.25">
      <c r="A4726" t="str">
        <f>"00393186"</f>
        <v>00393186</v>
      </c>
      <c r="B4726" t="s">
        <v>2465</v>
      </c>
      <c r="C4726" t="s">
        <v>72</v>
      </c>
      <c r="D4726" t="s">
        <v>15</v>
      </c>
      <c r="E4726" t="s">
        <v>26</v>
      </c>
      <c r="F4726" t="s">
        <v>17</v>
      </c>
      <c r="G4726" t="str">
        <f>"39"</f>
        <v>39</v>
      </c>
      <c r="H4726" t="str">
        <f>"1  "</f>
        <v xml:space="preserve">1  </v>
      </c>
      <c r="I4726" t="str">
        <f>"2019/07/17"</f>
        <v>2019/07/17</v>
      </c>
      <c r="J4726" t="str">
        <f>"502"</f>
        <v>502</v>
      </c>
      <c r="K4726" t="s">
        <v>18</v>
      </c>
      <c r="L4726" t="s">
        <v>18</v>
      </c>
      <c r="M4726" t="str">
        <f>"20190717"</f>
        <v>20190717</v>
      </c>
    </row>
    <row r="4727" spans="1:13" x14ac:dyDescent="0.25">
      <c r="A4727" t="str">
        <f>"00399257"</f>
        <v>00399257</v>
      </c>
      <c r="B4727" t="s">
        <v>2473</v>
      </c>
      <c r="C4727" t="s">
        <v>1466</v>
      </c>
      <c r="D4727" t="s">
        <v>61</v>
      </c>
      <c r="E4727" t="s">
        <v>16</v>
      </c>
      <c r="F4727" t="s">
        <v>17</v>
      </c>
      <c r="G4727" t="str">
        <f>"39"</f>
        <v>39</v>
      </c>
      <c r="H4727" t="str">
        <f>"6  "</f>
        <v xml:space="preserve">6  </v>
      </c>
      <c r="I4727" t="str">
        <f>"2013/06/10"</f>
        <v>2013/06/10</v>
      </c>
      <c r="J4727" t="str">
        <f>"503"</f>
        <v>503</v>
      </c>
      <c r="K4727" t="s">
        <v>18</v>
      </c>
      <c r="L4727" t="s">
        <v>18</v>
      </c>
      <c r="M4727" t="str">
        <f>"20130610"</f>
        <v>20130610</v>
      </c>
    </row>
    <row r="4728" spans="1:13" x14ac:dyDescent="0.25">
      <c r="A4728" t="str">
        <f>"00666006"</f>
        <v>00666006</v>
      </c>
      <c r="B4728" t="s">
        <v>2502</v>
      </c>
      <c r="C4728" t="s">
        <v>2503</v>
      </c>
      <c r="D4728" t="s">
        <v>25</v>
      </c>
      <c r="E4728" t="s">
        <v>26</v>
      </c>
      <c r="F4728" t="s">
        <v>17</v>
      </c>
      <c r="G4728" t="str">
        <f>"39"</f>
        <v>39</v>
      </c>
      <c r="H4728" t="str">
        <f>"6  "</f>
        <v xml:space="preserve">6  </v>
      </c>
      <c r="I4728" t="str">
        <f>"2020/03/18"</f>
        <v>2020/03/18</v>
      </c>
      <c r="J4728" t="str">
        <f>"502"</f>
        <v>502</v>
      </c>
      <c r="K4728" t="s">
        <v>18</v>
      </c>
      <c r="L4728" t="s">
        <v>18</v>
      </c>
      <c r="M4728" t="str">
        <f>"20200317"</f>
        <v>20200317</v>
      </c>
    </row>
    <row r="4729" spans="1:13" x14ac:dyDescent="0.25">
      <c r="A4729" t="str">
        <f>"00884522"</f>
        <v>00884522</v>
      </c>
      <c r="B4729" t="s">
        <v>2532</v>
      </c>
      <c r="C4729" t="s">
        <v>125</v>
      </c>
      <c r="D4729" t="s">
        <v>51</v>
      </c>
      <c r="E4729" t="s">
        <v>26</v>
      </c>
      <c r="F4729" t="s">
        <v>17</v>
      </c>
      <c r="G4729" t="str">
        <f>"39"</f>
        <v>39</v>
      </c>
      <c r="H4729" t="str">
        <f>"1  "</f>
        <v xml:space="preserve">1  </v>
      </c>
      <c r="I4729" t="str">
        <f>"2020/06/26"</f>
        <v>2020/06/26</v>
      </c>
      <c r="J4729" t="str">
        <f>"503"</f>
        <v>503</v>
      </c>
      <c r="K4729" t="s">
        <v>18</v>
      </c>
      <c r="L4729" t="s">
        <v>18</v>
      </c>
      <c r="M4729" t="str">
        <f>"20200625"</f>
        <v>20200625</v>
      </c>
    </row>
    <row r="4730" spans="1:13" x14ac:dyDescent="0.25">
      <c r="A4730" t="str">
        <f>"00655452"</f>
        <v>00655452</v>
      </c>
      <c r="B4730" t="s">
        <v>2553</v>
      </c>
      <c r="C4730" t="s">
        <v>2554</v>
      </c>
      <c r="D4730" t="s">
        <v>51</v>
      </c>
      <c r="E4730" t="s">
        <v>26</v>
      </c>
      <c r="F4730" t="s">
        <v>17</v>
      </c>
      <c r="G4730" t="str">
        <f>"39"</f>
        <v>39</v>
      </c>
      <c r="H4730" t="str">
        <f>"1  "</f>
        <v xml:space="preserve">1  </v>
      </c>
      <c r="I4730" t="str">
        <f>"2017/06/13"</f>
        <v>2017/06/13</v>
      </c>
      <c r="J4730" t="str">
        <f>"510"</f>
        <v>510</v>
      </c>
      <c r="K4730" t="s">
        <v>18</v>
      </c>
      <c r="L4730" t="s">
        <v>18</v>
      </c>
      <c r="M4730" t="str">
        <f>"20170613"</f>
        <v>20170613</v>
      </c>
    </row>
    <row r="4731" spans="1:13" x14ac:dyDescent="0.25">
      <c r="A4731" t="str">
        <f>"00332216"</f>
        <v>00332216</v>
      </c>
      <c r="B4731" t="s">
        <v>2611</v>
      </c>
      <c r="C4731" t="s">
        <v>677</v>
      </c>
      <c r="D4731" t="s">
        <v>25</v>
      </c>
      <c r="E4731" t="s">
        <v>16</v>
      </c>
      <c r="F4731" t="s">
        <v>17</v>
      </c>
      <c r="G4731" t="str">
        <f>"39"</f>
        <v>39</v>
      </c>
      <c r="H4731" t="str">
        <f>"1  "</f>
        <v xml:space="preserve">1  </v>
      </c>
      <c r="I4731" t="str">
        <f>"2017/12/05"</f>
        <v>2017/12/05</v>
      </c>
      <c r="J4731" t="str">
        <f>"510"</f>
        <v>510</v>
      </c>
      <c r="K4731" t="s">
        <v>18</v>
      </c>
      <c r="L4731" t="s">
        <v>18</v>
      </c>
      <c r="M4731" t="str">
        <f>"20171205"</f>
        <v>20171205</v>
      </c>
    </row>
    <row r="4732" spans="1:13" x14ac:dyDescent="0.25">
      <c r="A4732" t="str">
        <f>"00791522"</f>
        <v>00791522</v>
      </c>
      <c r="B4732" t="s">
        <v>2612</v>
      </c>
      <c r="C4732" t="s">
        <v>2451</v>
      </c>
      <c r="D4732" t="s">
        <v>26</v>
      </c>
      <c r="E4732" t="s">
        <v>16</v>
      </c>
      <c r="F4732" t="s">
        <v>17</v>
      </c>
      <c r="G4732" t="str">
        <f>"39"</f>
        <v>39</v>
      </c>
      <c r="H4732" t="str">
        <f>"1  "</f>
        <v xml:space="preserve">1  </v>
      </c>
      <c r="I4732" t="str">
        <f>"2017/12/11"</f>
        <v>2017/12/11</v>
      </c>
      <c r="J4732" t="str">
        <f>"510"</f>
        <v>510</v>
      </c>
      <c r="K4732" t="s">
        <v>18</v>
      </c>
      <c r="L4732" t="s">
        <v>18</v>
      </c>
      <c r="M4732" t="str">
        <f>"20171209"</f>
        <v>20171209</v>
      </c>
    </row>
    <row r="4733" spans="1:13" x14ac:dyDescent="0.25">
      <c r="A4733" t="str">
        <f>"00650227"</f>
        <v>00650227</v>
      </c>
      <c r="B4733" t="s">
        <v>2628</v>
      </c>
      <c r="C4733" t="s">
        <v>251</v>
      </c>
      <c r="D4733" t="s">
        <v>25</v>
      </c>
      <c r="E4733" t="s">
        <v>16</v>
      </c>
      <c r="F4733" t="s">
        <v>17</v>
      </c>
      <c r="G4733" t="str">
        <f>"39"</f>
        <v>39</v>
      </c>
      <c r="H4733" t="str">
        <f>"1  "</f>
        <v xml:space="preserve">1  </v>
      </c>
      <c r="I4733" t="str">
        <f>"2017/05/08"</f>
        <v>2017/05/08</v>
      </c>
      <c r="J4733" t="str">
        <f>"502"</f>
        <v>502</v>
      </c>
      <c r="K4733" t="s">
        <v>18</v>
      </c>
      <c r="L4733" t="s">
        <v>18</v>
      </c>
      <c r="M4733" t="str">
        <f>"20170508"</f>
        <v>20170508</v>
      </c>
    </row>
    <row r="4734" spans="1:13" x14ac:dyDescent="0.25">
      <c r="A4734" t="str">
        <f>"00300230"</f>
        <v>00300230</v>
      </c>
      <c r="B4734" t="s">
        <v>2659</v>
      </c>
      <c r="C4734" t="s">
        <v>248</v>
      </c>
      <c r="D4734" t="s">
        <v>15</v>
      </c>
      <c r="E4734" t="s">
        <v>26</v>
      </c>
      <c r="F4734" t="s">
        <v>17</v>
      </c>
      <c r="G4734" t="str">
        <f>"39"</f>
        <v>39</v>
      </c>
      <c r="H4734" t="str">
        <f>"1  "</f>
        <v xml:space="preserve">1  </v>
      </c>
      <c r="I4734" t="str">
        <f>"2019/10/21"</f>
        <v>2019/10/21</v>
      </c>
      <c r="J4734" t="str">
        <f>"510"</f>
        <v>510</v>
      </c>
      <c r="K4734" t="s">
        <v>18</v>
      </c>
      <c r="L4734" t="s">
        <v>18</v>
      </c>
      <c r="M4734" t="str">
        <f>"20191017"</f>
        <v>20191017</v>
      </c>
    </row>
    <row r="4735" spans="1:13" x14ac:dyDescent="0.25">
      <c r="A4735" t="str">
        <f>"00764167"</f>
        <v>00764167</v>
      </c>
      <c r="B4735" t="s">
        <v>2709</v>
      </c>
      <c r="C4735" t="s">
        <v>66</v>
      </c>
      <c r="D4735" t="s">
        <v>40</v>
      </c>
      <c r="E4735" t="s">
        <v>16</v>
      </c>
      <c r="F4735" t="s">
        <v>17</v>
      </c>
      <c r="G4735" t="str">
        <f>"39"</f>
        <v>39</v>
      </c>
      <c r="H4735" t="str">
        <f>"1  "</f>
        <v xml:space="preserve">1  </v>
      </c>
      <c r="I4735" t="str">
        <f>"2018/06/25"</f>
        <v>2018/06/25</v>
      </c>
      <c r="J4735" t="str">
        <f>"510"</f>
        <v>510</v>
      </c>
      <c r="K4735" t="s">
        <v>18</v>
      </c>
      <c r="L4735" t="s">
        <v>18</v>
      </c>
      <c r="M4735" t="str">
        <f>"20180625"</f>
        <v>20180625</v>
      </c>
    </row>
    <row r="4736" spans="1:13" x14ac:dyDescent="0.25">
      <c r="A4736" t="str">
        <f>"00541329"</f>
        <v>00541329</v>
      </c>
      <c r="B4736" t="s">
        <v>2724</v>
      </c>
      <c r="C4736" t="s">
        <v>258</v>
      </c>
      <c r="D4736" t="s">
        <v>121</v>
      </c>
      <c r="E4736" t="s">
        <v>26</v>
      </c>
      <c r="F4736" t="s">
        <v>17</v>
      </c>
      <c r="G4736" t="str">
        <f>"39"</f>
        <v>39</v>
      </c>
      <c r="H4736" t="str">
        <f>"6  "</f>
        <v xml:space="preserve">6  </v>
      </c>
      <c r="I4736" t="str">
        <f>"2012/06/27"</f>
        <v>2012/06/27</v>
      </c>
      <c r="J4736" t="str">
        <f>"534"</f>
        <v>534</v>
      </c>
      <c r="K4736" t="s">
        <v>18</v>
      </c>
      <c r="L4736" t="s">
        <v>18</v>
      </c>
      <c r="M4736" t="str">
        <f>"20081209"</f>
        <v>20081209</v>
      </c>
    </row>
    <row r="4737" spans="1:13" x14ac:dyDescent="0.25">
      <c r="A4737" t="str">
        <f>"00791094"</f>
        <v>00791094</v>
      </c>
      <c r="B4737" t="s">
        <v>2731</v>
      </c>
      <c r="C4737" t="s">
        <v>677</v>
      </c>
      <c r="D4737" t="s">
        <v>15</v>
      </c>
      <c r="E4737" t="s">
        <v>16</v>
      </c>
      <c r="F4737" t="s">
        <v>17</v>
      </c>
      <c r="G4737" t="str">
        <f>"39"</f>
        <v>39</v>
      </c>
      <c r="H4737" t="str">
        <f>"6  "</f>
        <v xml:space="preserve">6  </v>
      </c>
      <c r="I4737" t="str">
        <f>"2019/10/04"</f>
        <v>2019/10/04</v>
      </c>
      <c r="J4737" t="str">
        <f>"502"</f>
        <v>502</v>
      </c>
      <c r="K4737" t="s">
        <v>18</v>
      </c>
      <c r="L4737" t="s">
        <v>18</v>
      </c>
      <c r="M4737" t="str">
        <f>"20191004"</f>
        <v>20191004</v>
      </c>
    </row>
    <row r="4738" spans="1:13" x14ac:dyDescent="0.25">
      <c r="A4738" t="str">
        <f>"00362560"</f>
        <v>00362560</v>
      </c>
      <c r="B4738" t="s">
        <v>2738</v>
      </c>
      <c r="C4738" t="s">
        <v>160</v>
      </c>
      <c r="D4738" t="s">
        <v>15</v>
      </c>
      <c r="E4738" t="s">
        <v>26</v>
      </c>
      <c r="F4738" t="s">
        <v>17</v>
      </c>
      <c r="G4738" t="str">
        <f>"39"</f>
        <v>39</v>
      </c>
      <c r="H4738" t="str">
        <f>"1  "</f>
        <v xml:space="preserve">1  </v>
      </c>
      <c r="I4738" t="str">
        <f>"2020/08/11"</f>
        <v>2020/08/11</v>
      </c>
      <c r="J4738" t="str">
        <f>"510"</f>
        <v>510</v>
      </c>
      <c r="K4738" t="s">
        <v>18</v>
      </c>
      <c r="L4738" t="s">
        <v>18</v>
      </c>
      <c r="M4738" t="str">
        <f>"20200807"</f>
        <v>20200807</v>
      </c>
    </row>
    <row r="4739" spans="1:13" x14ac:dyDescent="0.25">
      <c r="A4739" t="str">
        <f>"00606673"</f>
        <v>00606673</v>
      </c>
      <c r="B4739" t="s">
        <v>2783</v>
      </c>
      <c r="C4739" t="s">
        <v>333</v>
      </c>
      <c r="D4739" t="s">
        <v>61</v>
      </c>
      <c r="E4739" t="s">
        <v>16</v>
      </c>
      <c r="F4739" t="s">
        <v>17</v>
      </c>
      <c r="G4739" t="str">
        <f>"39"</f>
        <v>39</v>
      </c>
      <c r="H4739" t="str">
        <f>"6  "</f>
        <v xml:space="preserve">6  </v>
      </c>
      <c r="I4739" t="str">
        <f>"2016/12/15"</f>
        <v>2016/12/15</v>
      </c>
      <c r="J4739" t="str">
        <f>"503"</f>
        <v>503</v>
      </c>
      <c r="K4739" t="s">
        <v>18</v>
      </c>
      <c r="L4739" t="s">
        <v>18</v>
      </c>
      <c r="M4739" t="str">
        <f>"20161215"</f>
        <v>20161215</v>
      </c>
    </row>
    <row r="4740" spans="1:13" x14ac:dyDescent="0.25">
      <c r="A4740" t="str">
        <f>"00649395"</f>
        <v>00649395</v>
      </c>
      <c r="B4740" t="s">
        <v>2865</v>
      </c>
      <c r="C4740" t="s">
        <v>2866</v>
      </c>
      <c r="D4740" t="s">
        <v>25</v>
      </c>
      <c r="E4740" t="s">
        <v>16</v>
      </c>
      <c r="F4740" t="s">
        <v>17</v>
      </c>
      <c r="G4740" t="str">
        <f>"39"</f>
        <v>39</v>
      </c>
      <c r="H4740" t="str">
        <f>"1  "</f>
        <v xml:space="preserve">1  </v>
      </c>
      <c r="I4740" t="str">
        <f>"2016/04/04"</f>
        <v>2016/04/04</v>
      </c>
      <c r="J4740" t="str">
        <f>"510"</f>
        <v>510</v>
      </c>
      <c r="K4740" t="s">
        <v>18</v>
      </c>
      <c r="L4740" t="s">
        <v>18</v>
      </c>
      <c r="M4740" t="str">
        <f>"20160404"</f>
        <v>20160404</v>
      </c>
    </row>
    <row r="4741" spans="1:13" x14ac:dyDescent="0.25">
      <c r="A4741" t="str">
        <f>"00661733"</f>
        <v>00661733</v>
      </c>
      <c r="B4741" t="s">
        <v>2879</v>
      </c>
      <c r="C4741" t="s">
        <v>346</v>
      </c>
      <c r="D4741" t="s">
        <v>25</v>
      </c>
      <c r="E4741" t="s">
        <v>16</v>
      </c>
      <c r="F4741" t="s">
        <v>17</v>
      </c>
      <c r="G4741" t="str">
        <f>"39"</f>
        <v>39</v>
      </c>
      <c r="H4741" t="str">
        <f>"6  "</f>
        <v xml:space="preserve">6  </v>
      </c>
      <c r="I4741" t="str">
        <f>"2013/02/11"</f>
        <v>2013/02/11</v>
      </c>
      <c r="J4741" t="str">
        <f>"510"</f>
        <v>510</v>
      </c>
      <c r="K4741" t="s">
        <v>18</v>
      </c>
      <c r="L4741" t="s">
        <v>18</v>
      </c>
      <c r="M4741" t="str">
        <f>"20130211"</f>
        <v>20130211</v>
      </c>
    </row>
    <row r="4742" spans="1:13" x14ac:dyDescent="0.25">
      <c r="A4742" t="str">
        <f>"00521293"</f>
        <v>00521293</v>
      </c>
      <c r="B4742" t="s">
        <v>2885</v>
      </c>
      <c r="C4742" t="s">
        <v>2887</v>
      </c>
      <c r="D4742" t="s">
        <v>25</v>
      </c>
      <c r="E4742" t="s">
        <v>26</v>
      </c>
      <c r="F4742" t="s">
        <v>17</v>
      </c>
      <c r="G4742" t="str">
        <f>"39"</f>
        <v>39</v>
      </c>
      <c r="H4742" t="str">
        <f>"6  "</f>
        <v xml:space="preserve">6  </v>
      </c>
      <c r="I4742" t="str">
        <f>"2012/06/27"</f>
        <v>2012/06/27</v>
      </c>
      <c r="J4742" t="str">
        <f>"534"</f>
        <v>534</v>
      </c>
      <c r="K4742" t="s">
        <v>18</v>
      </c>
      <c r="L4742" t="s">
        <v>18</v>
      </c>
      <c r="M4742" t="str">
        <f>"20100114"</f>
        <v>20100114</v>
      </c>
    </row>
    <row r="4743" spans="1:13" x14ac:dyDescent="0.25">
      <c r="A4743" t="str">
        <f>"00429819"</f>
        <v>00429819</v>
      </c>
      <c r="B4743" t="s">
        <v>2885</v>
      </c>
      <c r="C4743" t="s">
        <v>169</v>
      </c>
      <c r="D4743" t="s">
        <v>80</v>
      </c>
      <c r="E4743" t="s">
        <v>26</v>
      </c>
      <c r="F4743" t="s">
        <v>17</v>
      </c>
      <c r="G4743" t="str">
        <f>"39"</f>
        <v>39</v>
      </c>
      <c r="H4743" t="str">
        <f>"6  "</f>
        <v xml:space="preserve">6  </v>
      </c>
      <c r="I4743" t="str">
        <f>"2018/05/21"</f>
        <v>2018/05/21</v>
      </c>
      <c r="J4743" t="str">
        <f>"503"</f>
        <v>503</v>
      </c>
      <c r="K4743" t="s">
        <v>18</v>
      </c>
      <c r="L4743" t="s">
        <v>18</v>
      </c>
      <c r="M4743" t="str">
        <f>"20180521"</f>
        <v>20180521</v>
      </c>
    </row>
    <row r="4744" spans="1:13" x14ac:dyDescent="0.25">
      <c r="A4744" t="str">
        <f>"00170908"</f>
        <v>00170908</v>
      </c>
      <c r="B4744" t="s">
        <v>2910</v>
      </c>
      <c r="C4744" t="s">
        <v>687</v>
      </c>
      <c r="D4744" t="s">
        <v>25</v>
      </c>
      <c r="E4744" t="s">
        <v>16</v>
      </c>
      <c r="F4744" t="s">
        <v>17</v>
      </c>
      <c r="G4744" t="str">
        <f>"39"</f>
        <v>39</v>
      </c>
      <c r="H4744" t="str">
        <f>"6  "</f>
        <v xml:space="preserve">6  </v>
      </c>
      <c r="I4744" t="str">
        <f>"2020/08/25"</f>
        <v>2020/08/25</v>
      </c>
      <c r="J4744" t="str">
        <f>"503"</f>
        <v>503</v>
      </c>
      <c r="K4744" t="s">
        <v>18</v>
      </c>
      <c r="L4744" t="s">
        <v>18</v>
      </c>
      <c r="M4744" t="str">
        <f>"20200811"</f>
        <v>20200811</v>
      </c>
    </row>
    <row r="4745" spans="1:13" x14ac:dyDescent="0.25">
      <c r="A4745" t="str">
        <f>"00805904"</f>
        <v>00805904</v>
      </c>
      <c r="B4745" t="s">
        <v>2914</v>
      </c>
      <c r="C4745" t="s">
        <v>2915</v>
      </c>
      <c r="D4745" t="s">
        <v>53</v>
      </c>
      <c r="E4745" t="s">
        <v>26</v>
      </c>
      <c r="F4745" t="s">
        <v>17</v>
      </c>
      <c r="G4745" t="str">
        <f>"39"</f>
        <v>39</v>
      </c>
      <c r="H4745" t="str">
        <f>"6  "</f>
        <v xml:space="preserve">6  </v>
      </c>
      <c r="I4745" t="str">
        <f>"2020/02/20"</f>
        <v>2020/02/20</v>
      </c>
      <c r="J4745" t="str">
        <f>"510"</f>
        <v>510</v>
      </c>
      <c r="K4745" t="s">
        <v>18</v>
      </c>
      <c r="L4745" t="s">
        <v>18</v>
      </c>
      <c r="M4745" t="str">
        <f>"20200220"</f>
        <v>20200220</v>
      </c>
    </row>
    <row r="4746" spans="1:13" x14ac:dyDescent="0.25">
      <c r="A4746" t="str">
        <f>"00565590"</f>
        <v>00565590</v>
      </c>
      <c r="B4746" t="s">
        <v>2921</v>
      </c>
      <c r="C4746" t="s">
        <v>1909</v>
      </c>
      <c r="D4746" t="s">
        <v>25</v>
      </c>
      <c r="E4746" t="s">
        <v>16</v>
      </c>
      <c r="F4746" t="s">
        <v>17</v>
      </c>
      <c r="G4746" t="str">
        <f>"39"</f>
        <v>39</v>
      </c>
      <c r="H4746" t="str">
        <f>"6  "</f>
        <v xml:space="preserve">6  </v>
      </c>
      <c r="I4746" t="str">
        <f>"2012/06/27"</f>
        <v>2012/06/27</v>
      </c>
      <c r="J4746" t="str">
        <f>"534"</f>
        <v>534</v>
      </c>
      <c r="K4746" t="s">
        <v>18</v>
      </c>
      <c r="L4746" t="s">
        <v>18</v>
      </c>
      <c r="M4746" t="str">
        <f>"20120222"</f>
        <v>20120222</v>
      </c>
    </row>
    <row r="4747" spans="1:13" x14ac:dyDescent="0.25">
      <c r="A4747" t="str">
        <f>"00161055"</f>
        <v>00161055</v>
      </c>
      <c r="B4747" t="s">
        <v>2934</v>
      </c>
      <c r="C4747" t="s">
        <v>658</v>
      </c>
      <c r="D4747" t="s">
        <v>61</v>
      </c>
      <c r="E4747" t="s">
        <v>26</v>
      </c>
      <c r="F4747" t="s">
        <v>17</v>
      </c>
      <c r="G4747" t="str">
        <f>"39"</f>
        <v>39</v>
      </c>
      <c r="H4747" t="str">
        <f>"1  "</f>
        <v xml:space="preserve">1  </v>
      </c>
      <c r="I4747" t="str">
        <f>"2020/03/04"</f>
        <v>2020/03/04</v>
      </c>
      <c r="J4747" t="str">
        <f>"503"</f>
        <v>503</v>
      </c>
      <c r="K4747" t="s">
        <v>18</v>
      </c>
      <c r="L4747" t="s">
        <v>18</v>
      </c>
      <c r="M4747" t="str">
        <f>"20200304"</f>
        <v>20200304</v>
      </c>
    </row>
    <row r="4748" spans="1:13" x14ac:dyDescent="0.25">
      <c r="A4748" t="str">
        <f>"00240158"</f>
        <v>00240158</v>
      </c>
      <c r="B4748" t="s">
        <v>2975</v>
      </c>
      <c r="C4748" t="s">
        <v>148</v>
      </c>
      <c r="D4748" t="s">
        <v>51</v>
      </c>
      <c r="E4748" t="s">
        <v>26</v>
      </c>
      <c r="F4748" t="s">
        <v>17</v>
      </c>
      <c r="G4748" t="str">
        <f>"39"</f>
        <v>39</v>
      </c>
      <c r="H4748" t="str">
        <f>"6  "</f>
        <v xml:space="preserve">6  </v>
      </c>
      <c r="I4748" t="str">
        <f>"2018/08/03"</f>
        <v>2018/08/03</v>
      </c>
      <c r="J4748" t="str">
        <f>"503"</f>
        <v>503</v>
      </c>
      <c r="K4748" t="s">
        <v>18</v>
      </c>
      <c r="L4748" t="s">
        <v>18</v>
      </c>
      <c r="M4748" t="str">
        <f>"20180802"</f>
        <v>20180802</v>
      </c>
    </row>
    <row r="4749" spans="1:13" x14ac:dyDescent="0.25">
      <c r="A4749" t="str">
        <f>"00161054"</f>
        <v>00161054</v>
      </c>
      <c r="B4749" t="s">
        <v>3050</v>
      </c>
      <c r="C4749" t="s">
        <v>55</v>
      </c>
      <c r="D4749" t="s">
        <v>40</v>
      </c>
      <c r="E4749" t="s">
        <v>26</v>
      </c>
      <c r="F4749" t="s">
        <v>17</v>
      </c>
      <c r="G4749" t="str">
        <f>"39"</f>
        <v>39</v>
      </c>
      <c r="H4749" t="str">
        <f>"6  "</f>
        <v xml:space="preserve">6  </v>
      </c>
      <c r="I4749" t="str">
        <f>"2012/06/27"</f>
        <v>2012/06/27</v>
      </c>
      <c r="J4749" t="str">
        <f>"534"</f>
        <v>534</v>
      </c>
      <c r="K4749" t="s">
        <v>18</v>
      </c>
      <c r="L4749" t="s">
        <v>18</v>
      </c>
      <c r="M4749" t="str">
        <f>"20090904"</f>
        <v>20090904</v>
      </c>
    </row>
    <row r="4750" spans="1:13" x14ac:dyDescent="0.25">
      <c r="A4750" t="str">
        <f>"00249440"</f>
        <v>00249440</v>
      </c>
      <c r="B4750" t="s">
        <v>3056</v>
      </c>
      <c r="C4750" t="s">
        <v>398</v>
      </c>
      <c r="D4750" t="s">
        <v>456</v>
      </c>
      <c r="E4750" t="s">
        <v>16</v>
      </c>
      <c r="F4750" t="s">
        <v>17</v>
      </c>
      <c r="G4750" t="str">
        <f>"39"</f>
        <v>39</v>
      </c>
      <c r="H4750" t="str">
        <f>"6  "</f>
        <v xml:space="preserve">6  </v>
      </c>
      <c r="I4750" t="str">
        <f>"2006/04/07"</f>
        <v>2006/04/07</v>
      </c>
      <c r="J4750" t="str">
        <f>"503"</f>
        <v>503</v>
      </c>
      <c r="K4750" t="s">
        <v>18</v>
      </c>
      <c r="L4750" t="s">
        <v>18</v>
      </c>
      <c r="M4750" t="str">
        <f>"20060403"</f>
        <v>20060403</v>
      </c>
    </row>
    <row r="4751" spans="1:13" x14ac:dyDescent="0.25">
      <c r="A4751" t="str">
        <f>"00405137"</f>
        <v>00405137</v>
      </c>
      <c r="B4751" t="s">
        <v>3079</v>
      </c>
      <c r="C4751" t="s">
        <v>3080</v>
      </c>
      <c r="D4751" t="s">
        <v>25</v>
      </c>
      <c r="E4751" t="s">
        <v>16</v>
      </c>
      <c r="F4751" t="s">
        <v>17</v>
      </c>
      <c r="G4751" t="str">
        <f>"39"</f>
        <v>39</v>
      </c>
      <c r="H4751" t="str">
        <f>"1  "</f>
        <v xml:space="preserve">1  </v>
      </c>
      <c r="I4751" t="str">
        <f>"2017/05/16"</f>
        <v>2017/05/16</v>
      </c>
      <c r="J4751" t="str">
        <f>"503"</f>
        <v>503</v>
      </c>
      <c r="K4751" t="s">
        <v>18</v>
      </c>
      <c r="L4751" t="s">
        <v>18</v>
      </c>
      <c r="M4751" t="str">
        <f>"20170516"</f>
        <v>20170516</v>
      </c>
    </row>
    <row r="4752" spans="1:13" x14ac:dyDescent="0.25">
      <c r="A4752" t="str">
        <f>"00759736"</f>
        <v>00759736</v>
      </c>
      <c r="B4752" t="s">
        <v>3116</v>
      </c>
      <c r="C4752" t="s">
        <v>55</v>
      </c>
      <c r="D4752" t="s">
        <v>45</v>
      </c>
      <c r="E4752" t="s">
        <v>26</v>
      </c>
      <c r="F4752" t="s">
        <v>17</v>
      </c>
      <c r="G4752" t="str">
        <f>"39"</f>
        <v>39</v>
      </c>
      <c r="H4752" t="str">
        <f>"1  "</f>
        <v xml:space="preserve">1  </v>
      </c>
      <c r="I4752" t="str">
        <f>"2019/09/04"</f>
        <v>2019/09/04</v>
      </c>
      <c r="J4752" t="str">
        <f>"510"</f>
        <v>510</v>
      </c>
      <c r="K4752" t="s">
        <v>18</v>
      </c>
      <c r="L4752" t="s">
        <v>18</v>
      </c>
      <c r="M4752" t="str">
        <f>"20190822"</f>
        <v>20190822</v>
      </c>
    </row>
    <row r="4753" spans="1:13" x14ac:dyDescent="0.25">
      <c r="A4753" t="str">
        <f>"00555585"</f>
        <v>00555585</v>
      </c>
      <c r="B4753" t="s">
        <v>3127</v>
      </c>
      <c r="C4753" t="s">
        <v>3128</v>
      </c>
      <c r="D4753" t="s">
        <v>456</v>
      </c>
      <c r="E4753" t="s">
        <v>16</v>
      </c>
      <c r="F4753" t="s">
        <v>17</v>
      </c>
      <c r="G4753" t="str">
        <f>"39"</f>
        <v>39</v>
      </c>
      <c r="H4753" t="str">
        <f>"6  "</f>
        <v xml:space="preserve">6  </v>
      </c>
      <c r="I4753" t="str">
        <f>"2014/02/11"</f>
        <v>2014/02/11</v>
      </c>
      <c r="J4753" t="str">
        <f>"502"</f>
        <v>502</v>
      </c>
      <c r="K4753" t="s">
        <v>18</v>
      </c>
      <c r="L4753" t="s">
        <v>18</v>
      </c>
      <c r="M4753" t="str">
        <f>"20140211"</f>
        <v>20140211</v>
      </c>
    </row>
    <row r="4754" spans="1:13" x14ac:dyDescent="0.25">
      <c r="A4754" t="str">
        <f>"00361246"</f>
        <v>00361246</v>
      </c>
      <c r="B4754" t="s">
        <v>3164</v>
      </c>
      <c r="C4754" t="s">
        <v>140</v>
      </c>
      <c r="D4754" t="s">
        <v>25</v>
      </c>
      <c r="E4754" t="s">
        <v>26</v>
      </c>
      <c r="F4754" t="s">
        <v>17</v>
      </c>
      <c r="G4754" t="str">
        <f>"39"</f>
        <v>39</v>
      </c>
      <c r="H4754" t="str">
        <f>"6  "</f>
        <v xml:space="preserve">6  </v>
      </c>
      <c r="I4754" t="str">
        <f>"2012/06/27"</f>
        <v>2012/06/27</v>
      </c>
      <c r="J4754" t="str">
        <f>"534"</f>
        <v>534</v>
      </c>
      <c r="K4754" t="s">
        <v>18</v>
      </c>
      <c r="L4754" t="s">
        <v>18</v>
      </c>
      <c r="M4754" t="str">
        <f>"20110210"</f>
        <v>20110210</v>
      </c>
    </row>
    <row r="4755" spans="1:13" x14ac:dyDescent="0.25">
      <c r="A4755" t="str">
        <f>"00750177"</f>
        <v>00750177</v>
      </c>
      <c r="B4755" t="s">
        <v>3202</v>
      </c>
      <c r="C4755" t="s">
        <v>197</v>
      </c>
      <c r="D4755" t="s">
        <v>25</v>
      </c>
      <c r="E4755" t="s">
        <v>16</v>
      </c>
      <c r="F4755" t="s">
        <v>17</v>
      </c>
      <c r="G4755" t="str">
        <f>"39"</f>
        <v>39</v>
      </c>
      <c r="H4755" t="str">
        <f>"6  "</f>
        <v xml:space="preserve">6  </v>
      </c>
      <c r="I4755" t="str">
        <f>"2015/06/08"</f>
        <v>2015/06/08</v>
      </c>
      <c r="J4755" t="str">
        <f>"503"</f>
        <v>503</v>
      </c>
      <c r="K4755" t="s">
        <v>18</v>
      </c>
      <c r="L4755" t="s">
        <v>18</v>
      </c>
      <c r="M4755" t="str">
        <f>"20150608"</f>
        <v>20150608</v>
      </c>
    </row>
    <row r="4756" spans="1:13" x14ac:dyDescent="0.25">
      <c r="A4756" t="str">
        <f>"00251965"</f>
        <v>00251965</v>
      </c>
      <c r="B4756" t="s">
        <v>3216</v>
      </c>
      <c r="C4756" t="s">
        <v>207</v>
      </c>
      <c r="D4756" t="s">
        <v>61</v>
      </c>
      <c r="E4756" t="s">
        <v>26</v>
      </c>
      <c r="F4756" t="s">
        <v>17</v>
      </c>
      <c r="G4756" t="str">
        <f>"39"</f>
        <v>39</v>
      </c>
      <c r="H4756" t="str">
        <f>"6  "</f>
        <v xml:space="preserve">6  </v>
      </c>
      <c r="I4756" t="str">
        <f>"2014/05/30"</f>
        <v>2014/05/30</v>
      </c>
      <c r="J4756" t="str">
        <f>"510"</f>
        <v>510</v>
      </c>
      <c r="K4756" t="s">
        <v>18</v>
      </c>
      <c r="L4756" t="s">
        <v>18</v>
      </c>
      <c r="M4756" t="str">
        <f>"20140530"</f>
        <v>20140530</v>
      </c>
    </row>
    <row r="4757" spans="1:13" x14ac:dyDescent="0.25">
      <c r="A4757" t="str">
        <f>"00399627"</f>
        <v>00399627</v>
      </c>
      <c r="B4757" t="s">
        <v>3324</v>
      </c>
      <c r="C4757" t="s">
        <v>526</v>
      </c>
      <c r="D4757" t="s">
        <v>80</v>
      </c>
      <c r="E4757" t="s">
        <v>16</v>
      </c>
      <c r="F4757" t="s">
        <v>17</v>
      </c>
      <c r="G4757" t="str">
        <f>"39"</f>
        <v>39</v>
      </c>
      <c r="H4757" t="str">
        <f>"6  "</f>
        <v xml:space="preserve">6  </v>
      </c>
      <c r="I4757" t="str">
        <f>"2015/05/27"</f>
        <v>2015/05/27</v>
      </c>
      <c r="J4757" t="str">
        <f>"510"</f>
        <v>510</v>
      </c>
      <c r="K4757" t="s">
        <v>18</v>
      </c>
      <c r="L4757" t="s">
        <v>18</v>
      </c>
      <c r="M4757" t="str">
        <f>"20150527"</f>
        <v>20150527</v>
      </c>
    </row>
    <row r="4758" spans="1:13" x14ac:dyDescent="0.25">
      <c r="A4758" t="str">
        <f>"00591999"</f>
        <v>00591999</v>
      </c>
      <c r="B4758" t="s">
        <v>3386</v>
      </c>
      <c r="C4758" t="s">
        <v>3387</v>
      </c>
      <c r="D4758" t="s">
        <v>47</v>
      </c>
      <c r="E4758" t="s">
        <v>26</v>
      </c>
      <c r="F4758" t="s">
        <v>17</v>
      </c>
      <c r="G4758" t="str">
        <f>"39"</f>
        <v>39</v>
      </c>
      <c r="H4758" t="str">
        <f>"6  "</f>
        <v xml:space="preserve">6  </v>
      </c>
      <c r="I4758" t="str">
        <f>"2018/01/22"</f>
        <v>2018/01/22</v>
      </c>
      <c r="J4758" t="str">
        <f>"502"</f>
        <v>502</v>
      </c>
      <c r="K4758" t="s">
        <v>18</v>
      </c>
      <c r="L4758" t="s">
        <v>18</v>
      </c>
      <c r="M4758" t="str">
        <f>"20180119"</f>
        <v>20180119</v>
      </c>
    </row>
    <row r="4759" spans="1:13" x14ac:dyDescent="0.25">
      <c r="A4759" t="str">
        <f>"00758666"</f>
        <v>00758666</v>
      </c>
      <c r="B4759" t="s">
        <v>3390</v>
      </c>
      <c r="C4759" t="s">
        <v>1159</v>
      </c>
      <c r="D4759" t="s">
        <v>16</v>
      </c>
      <c r="E4759" t="s">
        <v>16</v>
      </c>
      <c r="F4759" t="s">
        <v>17</v>
      </c>
      <c r="G4759" t="str">
        <f>"39"</f>
        <v>39</v>
      </c>
      <c r="H4759" t="str">
        <f>"1  "</f>
        <v xml:space="preserve">1  </v>
      </c>
      <c r="I4759" t="str">
        <f>"2018/01/23"</f>
        <v>2018/01/23</v>
      </c>
      <c r="J4759" t="str">
        <f>"503"</f>
        <v>503</v>
      </c>
      <c r="K4759" t="s">
        <v>18</v>
      </c>
      <c r="L4759" t="s">
        <v>18</v>
      </c>
      <c r="M4759" t="str">
        <f>"20180123"</f>
        <v>20180123</v>
      </c>
    </row>
    <row r="4760" spans="1:13" x14ac:dyDescent="0.25">
      <c r="A4760" t="str">
        <f>"00631148"</f>
        <v>00631148</v>
      </c>
      <c r="B4760" t="s">
        <v>3395</v>
      </c>
      <c r="C4760" t="s">
        <v>1023</v>
      </c>
      <c r="D4760" t="s">
        <v>51</v>
      </c>
      <c r="E4760" t="s">
        <v>26</v>
      </c>
      <c r="F4760" t="s">
        <v>17</v>
      </c>
      <c r="G4760" t="str">
        <f>"39"</f>
        <v>39</v>
      </c>
      <c r="H4760" t="str">
        <f>"1  "</f>
        <v xml:space="preserve">1  </v>
      </c>
      <c r="I4760" t="str">
        <f>"2019/09/04"</f>
        <v>2019/09/04</v>
      </c>
      <c r="J4760" t="str">
        <f>"502"</f>
        <v>502</v>
      </c>
      <c r="K4760" t="s">
        <v>18</v>
      </c>
      <c r="L4760" t="s">
        <v>18</v>
      </c>
      <c r="M4760" t="str">
        <f>"20190904"</f>
        <v>20190904</v>
      </c>
    </row>
    <row r="4761" spans="1:13" x14ac:dyDescent="0.25">
      <c r="A4761" t="str">
        <f>"00634868"</f>
        <v>00634868</v>
      </c>
      <c r="B4761" t="s">
        <v>3450</v>
      </c>
      <c r="C4761" t="s">
        <v>2128</v>
      </c>
      <c r="D4761" t="s">
        <v>53</v>
      </c>
      <c r="E4761" t="s">
        <v>16</v>
      </c>
      <c r="F4761" t="s">
        <v>17</v>
      </c>
      <c r="G4761" t="str">
        <f>"39"</f>
        <v>39</v>
      </c>
      <c r="H4761" t="str">
        <f>"6  "</f>
        <v xml:space="preserve">6  </v>
      </c>
      <c r="I4761" t="str">
        <f>"2019/03/26"</f>
        <v>2019/03/26</v>
      </c>
      <c r="J4761" t="str">
        <f>"510"</f>
        <v>510</v>
      </c>
      <c r="K4761" t="s">
        <v>18</v>
      </c>
      <c r="L4761" t="s">
        <v>18</v>
      </c>
      <c r="M4761" t="str">
        <f>"20190325"</f>
        <v>20190325</v>
      </c>
    </row>
    <row r="4762" spans="1:13" x14ac:dyDescent="0.25">
      <c r="A4762" t="str">
        <f>"00744417"</f>
        <v>00744417</v>
      </c>
      <c r="B4762" t="s">
        <v>3471</v>
      </c>
      <c r="C4762" t="s">
        <v>1909</v>
      </c>
      <c r="D4762" t="s">
        <v>15</v>
      </c>
      <c r="E4762" t="s">
        <v>16</v>
      </c>
      <c r="F4762" t="s">
        <v>17</v>
      </c>
      <c r="G4762" t="str">
        <f>"39"</f>
        <v>39</v>
      </c>
      <c r="H4762" t="str">
        <f>"6  "</f>
        <v xml:space="preserve">6  </v>
      </c>
      <c r="I4762" t="str">
        <f>"2016/11/07"</f>
        <v>2016/11/07</v>
      </c>
      <c r="J4762" t="str">
        <f>"510"</f>
        <v>510</v>
      </c>
      <c r="K4762" t="s">
        <v>18</v>
      </c>
      <c r="L4762" t="s">
        <v>18</v>
      </c>
      <c r="M4762" t="str">
        <f>"20161105"</f>
        <v>20161105</v>
      </c>
    </row>
    <row r="4763" spans="1:13" x14ac:dyDescent="0.25">
      <c r="A4763" t="str">
        <f>"00640813"</f>
        <v>00640813</v>
      </c>
      <c r="B4763" t="s">
        <v>3473</v>
      </c>
      <c r="C4763" t="s">
        <v>2462</v>
      </c>
      <c r="D4763" t="s">
        <v>25</v>
      </c>
      <c r="E4763" t="s">
        <v>26</v>
      </c>
      <c r="F4763" t="s">
        <v>17</v>
      </c>
      <c r="G4763" t="str">
        <f>"39"</f>
        <v>39</v>
      </c>
      <c r="H4763" t="str">
        <f>"6  "</f>
        <v xml:space="preserve">6  </v>
      </c>
      <c r="I4763" t="str">
        <f>"2012/06/27"</f>
        <v>2012/06/27</v>
      </c>
      <c r="J4763" t="str">
        <f>"534"</f>
        <v>534</v>
      </c>
      <c r="K4763" t="s">
        <v>18</v>
      </c>
      <c r="L4763" t="s">
        <v>18</v>
      </c>
      <c r="M4763" t="str">
        <f>"20091211"</f>
        <v>20091211</v>
      </c>
    </row>
    <row r="4764" spans="1:13" x14ac:dyDescent="0.25">
      <c r="A4764" t="str">
        <f>"00587150"</f>
        <v>00587150</v>
      </c>
      <c r="B4764" t="s">
        <v>3516</v>
      </c>
      <c r="C4764" t="s">
        <v>2203</v>
      </c>
      <c r="D4764" t="s">
        <v>61</v>
      </c>
      <c r="E4764" t="s">
        <v>26</v>
      </c>
      <c r="F4764" t="s">
        <v>17</v>
      </c>
      <c r="G4764" t="str">
        <f>"39"</f>
        <v>39</v>
      </c>
      <c r="H4764" t="str">
        <f>"6  "</f>
        <v xml:space="preserve">6  </v>
      </c>
      <c r="I4764" t="str">
        <f>"2020/02/06"</f>
        <v>2020/02/06</v>
      </c>
      <c r="J4764" t="str">
        <f>"510"</f>
        <v>510</v>
      </c>
      <c r="K4764" t="s">
        <v>18</v>
      </c>
      <c r="L4764" t="s">
        <v>18</v>
      </c>
      <c r="M4764" t="str">
        <f>"20200206"</f>
        <v>20200206</v>
      </c>
    </row>
    <row r="4765" spans="1:13" x14ac:dyDescent="0.25">
      <c r="A4765" t="str">
        <f>"00428641"</f>
        <v>00428641</v>
      </c>
      <c r="B4765" t="s">
        <v>3544</v>
      </c>
      <c r="C4765" t="s">
        <v>122</v>
      </c>
      <c r="D4765" t="s">
        <v>31</v>
      </c>
      <c r="E4765" t="s">
        <v>16</v>
      </c>
      <c r="F4765" t="s">
        <v>17</v>
      </c>
      <c r="G4765" t="str">
        <f>"39"</f>
        <v>39</v>
      </c>
      <c r="H4765" t="str">
        <f>"1  "</f>
        <v xml:space="preserve">1  </v>
      </c>
      <c r="I4765" t="str">
        <f>"2019/12/18"</f>
        <v>2019/12/18</v>
      </c>
      <c r="J4765" t="str">
        <f>"510"</f>
        <v>510</v>
      </c>
      <c r="K4765" t="s">
        <v>18</v>
      </c>
      <c r="L4765" t="s">
        <v>18</v>
      </c>
      <c r="M4765" t="str">
        <f>"20191218"</f>
        <v>20191218</v>
      </c>
    </row>
    <row r="4766" spans="1:13" x14ac:dyDescent="0.25">
      <c r="A4766" t="str">
        <f>"00355388"</f>
        <v>00355388</v>
      </c>
      <c r="B4766" t="s">
        <v>3579</v>
      </c>
      <c r="C4766" t="s">
        <v>148</v>
      </c>
      <c r="D4766" t="s">
        <v>97</v>
      </c>
      <c r="E4766" t="s">
        <v>16</v>
      </c>
      <c r="F4766" t="s">
        <v>17</v>
      </c>
      <c r="G4766" t="str">
        <f>"39"</f>
        <v>39</v>
      </c>
      <c r="H4766" t="str">
        <f>"1  "</f>
        <v xml:space="preserve">1  </v>
      </c>
      <c r="I4766" t="str">
        <f>"2017/11/15"</f>
        <v>2017/11/15</v>
      </c>
      <c r="J4766" t="str">
        <f>"502"</f>
        <v>502</v>
      </c>
      <c r="K4766" t="s">
        <v>18</v>
      </c>
      <c r="L4766" t="s">
        <v>18</v>
      </c>
      <c r="M4766" t="str">
        <f>"20171115"</f>
        <v>20171115</v>
      </c>
    </row>
    <row r="4767" spans="1:13" x14ac:dyDescent="0.25">
      <c r="A4767" t="str">
        <f>"00514841"</f>
        <v>00514841</v>
      </c>
      <c r="B4767" t="s">
        <v>3617</v>
      </c>
      <c r="C4767" t="s">
        <v>3618</v>
      </c>
      <c r="D4767" t="s">
        <v>215</v>
      </c>
      <c r="E4767" t="s">
        <v>26</v>
      </c>
      <c r="F4767" t="s">
        <v>17</v>
      </c>
      <c r="G4767" t="str">
        <f>"39"</f>
        <v>39</v>
      </c>
      <c r="H4767" t="str">
        <f>"1  "</f>
        <v xml:space="preserve">1  </v>
      </c>
      <c r="I4767" t="str">
        <f>"2017/07/17"</f>
        <v>2017/07/17</v>
      </c>
      <c r="J4767" t="str">
        <f>"502"</f>
        <v>502</v>
      </c>
      <c r="K4767" t="s">
        <v>18</v>
      </c>
      <c r="L4767" t="s">
        <v>18</v>
      </c>
      <c r="M4767" t="str">
        <f>"20170717"</f>
        <v>20170717</v>
      </c>
    </row>
    <row r="4768" spans="1:13" x14ac:dyDescent="0.25">
      <c r="A4768" t="str">
        <f>"00350614"</f>
        <v>00350614</v>
      </c>
      <c r="B4768" t="s">
        <v>3635</v>
      </c>
      <c r="C4768" t="s">
        <v>169</v>
      </c>
      <c r="D4768" t="s">
        <v>26</v>
      </c>
      <c r="E4768" t="s">
        <v>16</v>
      </c>
      <c r="F4768" t="s">
        <v>17</v>
      </c>
      <c r="G4768" t="str">
        <f>"39"</f>
        <v>39</v>
      </c>
      <c r="H4768" t="str">
        <f>"6  "</f>
        <v xml:space="preserve">6  </v>
      </c>
      <c r="I4768" t="str">
        <f>"2020/01/31"</f>
        <v>2020/01/31</v>
      </c>
      <c r="J4768" t="str">
        <f>"510"</f>
        <v>510</v>
      </c>
      <c r="K4768" t="s">
        <v>18</v>
      </c>
      <c r="L4768" t="s">
        <v>18</v>
      </c>
      <c r="M4768" t="str">
        <f>"20200131"</f>
        <v>20200131</v>
      </c>
    </row>
    <row r="4769" spans="1:13" x14ac:dyDescent="0.25">
      <c r="A4769" t="str">
        <f>"00869738"</f>
        <v>00869738</v>
      </c>
      <c r="B4769" t="s">
        <v>3682</v>
      </c>
      <c r="C4769" t="s">
        <v>755</v>
      </c>
      <c r="D4769" t="s">
        <v>73</v>
      </c>
      <c r="E4769" t="s">
        <v>16</v>
      </c>
      <c r="F4769" t="s">
        <v>17</v>
      </c>
      <c r="G4769" t="str">
        <f>"39"</f>
        <v>39</v>
      </c>
      <c r="H4769" t="str">
        <f>"1  "</f>
        <v xml:space="preserve">1  </v>
      </c>
      <c r="I4769" t="str">
        <f>"2018/11/19"</f>
        <v>2018/11/19</v>
      </c>
      <c r="J4769" t="str">
        <f>"503"</f>
        <v>503</v>
      </c>
      <c r="K4769" t="s">
        <v>18</v>
      </c>
      <c r="L4769" t="s">
        <v>18</v>
      </c>
      <c r="M4769" t="str">
        <f>"20181119"</f>
        <v>20181119</v>
      </c>
    </row>
    <row r="4770" spans="1:13" x14ac:dyDescent="0.25">
      <c r="A4770" t="str">
        <f>"00513974"</f>
        <v>00513974</v>
      </c>
      <c r="B4770" t="s">
        <v>3713</v>
      </c>
      <c r="C4770" t="s">
        <v>552</v>
      </c>
      <c r="D4770" t="s">
        <v>73</v>
      </c>
      <c r="E4770" t="s">
        <v>16</v>
      </c>
      <c r="F4770" t="s">
        <v>17</v>
      </c>
      <c r="G4770" t="str">
        <f>"39"</f>
        <v>39</v>
      </c>
      <c r="H4770" t="str">
        <f>"6  "</f>
        <v xml:space="preserve">6  </v>
      </c>
      <c r="I4770" t="str">
        <f>"2012/06/27"</f>
        <v>2012/06/27</v>
      </c>
      <c r="J4770" t="str">
        <f>"534"</f>
        <v>534</v>
      </c>
      <c r="K4770" t="s">
        <v>18</v>
      </c>
      <c r="L4770" t="s">
        <v>18</v>
      </c>
      <c r="M4770" t="str">
        <f>"20120603"</f>
        <v>20120603</v>
      </c>
    </row>
    <row r="4771" spans="1:13" x14ac:dyDescent="0.25">
      <c r="A4771" t="str">
        <f>"00663786"</f>
        <v>00663786</v>
      </c>
      <c r="B4771" t="s">
        <v>3720</v>
      </c>
      <c r="C4771" t="s">
        <v>140</v>
      </c>
      <c r="D4771" t="s">
        <v>21</v>
      </c>
      <c r="E4771" t="s">
        <v>26</v>
      </c>
      <c r="F4771" t="s">
        <v>17</v>
      </c>
      <c r="G4771" t="str">
        <f>"39"</f>
        <v>39</v>
      </c>
      <c r="H4771" t="str">
        <f>"6  "</f>
        <v xml:space="preserve">6  </v>
      </c>
      <c r="I4771" t="str">
        <f>"2019/07/08"</f>
        <v>2019/07/08</v>
      </c>
      <c r="J4771" t="str">
        <f>"503"</f>
        <v>503</v>
      </c>
      <c r="K4771" t="s">
        <v>18</v>
      </c>
      <c r="L4771" t="s">
        <v>18</v>
      </c>
      <c r="M4771" t="str">
        <f>"20190705"</f>
        <v>20190705</v>
      </c>
    </row>
    <row r="4772" spans="1:13" x14ac:dyDescent="0.25">
      <c r="A4772" t="str">
        <f>"00565880"</f>
        <v>00565880</v>
      </c>
      <c r="B4772" t="s">
        <v>3810</v>
      </c>
      <c r="C4772" t="s">
        <v>160</v>
      </c>
      <c r="D4772" t="s">
        <v>21</v>
      </c>
      <c r="E4772" t="s">
        <v>26</v>
      </c>
      <c r="F4772" t="s">
        <v>17</v>
      </c>
      <c r="G4772" t="str">
        <f>"39"</f>
        <v>39</v>
      </c>
      <c r="H4772" t="str">
        <f>"6  "</f>
        <v xml:space="preserve">6  </v>
      </c>
      <c r="I4772" t="str">
        <f>"2019/05/07"</f>
        <v>2019/05/07</v>
      </c>
      <c r="J4772" t="str">
        <f>"510"</f>
        <v>510</v>
      </c>
      <c r="K4772" t="s">
        <v>18</v>
      </c>
      <c r="L4772" t="s">
        <v>18</v>
      </c>
      <c r="M4772" t="str">
        <f>"20190506"</f>
        <v>20190506</v>
      </c>
    </row>
    <row r="4773" spans="1:13" x14ac:dyDescent="0.25">
      <c r="A4773" t="str">
        <f>"00633530"</f>
        <v>00633530</v>
      </c>
      <c r="B4773" t="s">
        <v>3820</v>
      </c>
      <c r="C4773" t="s">
        <v>3821</v>
      </c>
      <c r="D4773" t="s">
        <v>25</v>
      </c>
      <c r="E4773" t="s">
        <v>26</v>
      </c>
      <c r="F4773" t="s">
        <v>17</v>
      </c>
      <c r="G4773" t="str">
        <f>"39"</f>
        <v>39</v>
      </c>
      <c r="H4773" t="str">
        <f>"1  "</f>
        <v xml:space="preserve">1  </v>
      </c>
      <c r="I4773" t="str">
        <f>"2015/08/13"</f>
        <v>2015/08/13</v>
      </c>
      <c r="J4773" t="str">
        <f>"502"</f>
        <v>502</v>
      </c>
      <c r="K4773" t="s">
        <v>18</v>
      </c>
      <c r="L4773" t="s">
        <v>18</v>
      </c>
      <c r="M4773" t="str">
        <f>"20150813"</f>
        <v>20150813</v>
      </c>
    </row>
    <row r="4774" spans="1:13" x14ac:dyDescent="0.25">
      <c r="A4774" t="str">
        <f>"00642853"</f>
        <v>00642853</v>
      </c>
      <c r="B4774" t="s">
        <v>3836</v>
      </c>
      <c r="C4774" t="s">
        <v>96</v>
      </c>
      <c r="D4774" t="s">
        <v>80</v>
      </c>
      <c r="E4774" t="s">
        <v>16</v>
      </c>
      <c r="F4774" t="s">
        <v>17</v>
      </c>
      <c r="G4774" t="str">
        <f>"39"</f>
        <v>39</v>
      </c>
      <c r="H4774" t="str">
        <f>"6  "</f>
        <v xml:space="preserve">6  </v>
      </c>
      <c r="I4774" t="str">
        <f>"2020/02/07"</f>
        <v>2020/02/07</v>
      </c>
      <c r="J4774" t="str">
        <f>"503"</f>
        <v>503</v>
      </c>
      <c r="K4774" t="s">
        <v>18</v>
      </c>
      <c r="L4774" t="s">
        <v>18</v>
      </c>
      <c r="M4774" t="str">
        <f>"20200207"</f>
        <v>20200207</v>
      </c>
    </row>
    <row r="4775" spans="1:13" x14ac:dyDescent="0.25">
      <c r="A4775" t="str">
        <f>"00480148"</f>
        <v>00480148</v>
      </c>
      <c r="B4775" t="s">
        <v>3940</v>
      </c>
      <c r="C4775" t="s">
        <v>3505</v>
      </c>
      <c r="D4775" t="s">
        <v>21</v>
      </c>
      <c r="E4775" t="s">
        <v>26</v>
      </c>
      <c r="F4775" t="s">
        <v>17</v>
      </c>
      <c r="G4775" t="str">
        <f>"39"</f>
        <v>39</v>
      </c>
      <c r="H4775" t="str">
        <f>"6  "</f>
        <v xml:space="preserve">6  </v>
      </c>
      <c r="I4775" t="str">
        <f>"2018/03/23"</f>
        <v>2018/03/23</v>
      </c>
      <c r="J4775" t="str">
        <f>"510"</f>
        <v>510</v>
      </c>
      <c r="K4775" t="s">
        <v>18</v>
      </c>
      <c r="L4775" t="s">
        <v>18</v>
      </c>
      <c r="M4775" t="str">
        <f>"20180323"</f>
        <v>20180323</v>
      </c>
    </row>
    <row r="4776" spans="1:13" x14ac:dyDescent="0.25">
      <c r="A4776" t="str">
        <f>"00258905"</f>
        <v>00258905</v>
      </c>
      <c r="B4776" t="s">
        <v>3963</v>
      </c>
      <c r="C4776" t="s">
        <v>2025</v>
      </c>
      <c r="D4776" t="s">
        <v>40</v>
      </c>
      <c r="E4776" t="s">
        <v>16</v>
      </c>
      <c r="F4776" t="s">
        <v>17</v>
      </c>
      <c r="G4776" t="str">
        <f>"39"</f>
        <v>39</v>
      </c>
      <c r="H4776" t="str">
        <f>"1  "</f>
        <v xml:space="preserve">1  </v>
      </c>
      <c r="I4776" t="str">
        <f>"2017/08/26"</f>
        <v>2017/08/26</v>
      </c>
      <c r="J4776" t="str">
        <f>"503"</f>
        <v>503</v>
      </c>
      <c r="K4776" t="s">
        <v>18</v>
      </c>
      <c r="L4776" t="s">
        <v>18</v>
      </c>
      <c r="M4776" t="str">
        <f>"20170826"</f>
        <v>20170826</v>
      </c>
    </row>
    <row r="4777" spans="1:13" x14ac:dyDescent="0.25">
      <c r="A4777" t="str">
        <f>"00168805"</f>
        <v>00168805</v>
      </c>
      <c r="B4777" t="s">
        <v>3972</v>
      </c>
      <c r="C4777" t="s">
        <v>49</v>
      </c>
      <c r="D4777" t="s">
        <v>51</v>
      </c>
      <c r="E4777" t="s">
        <v>16</v>
      </c>
      <c r="F4777" t="s">
        <v>17</v>
      </c>
      <c r="G4777" t="str">
        <f>"39"</f>
        <v>39</v>
      </c>
      <c r="H4777" t="str">
        <f>"6  "</f>
        <v xml:space="preserve">6  </v>
      </c>
      <c r="I4777" t="str">
        <f>"2020/09/10"</f>
        <v>2020/09/10</v>
      </c>
      <c r="J4777" t="str">
        <f>"502"</f>
        <v>502</v>
      </c>
      <c r="K4777" t="s">
        <v>18</v>
      </c>
      <c r="L4777" t="s">
        <v>18</v>
      </c>
      <c r="M4777" t="str">
        <f>"20200906"</f>
        <v>20200906</v>
      </c>
    </row>
    <row r="4778" spans="1:13" x14ac:dyDescent="0.25">
      <c r="A4778" t="str">
        <f>"00355760"</f>
        <v>00355760</v>
      </c>
      <c r="B4778" t="s">
        <v>4018</v>
      </c>
      <c r="C4778" t="s">
        <v>4019</v>
      </c>
      <c r="D4778" t="s">
        <v>25</v>
      </c>
      <c r="E4778" t="s">
        <v>16</v>
      </c>
      <c r="F4778" t="s">
        <v>17</v>
      </c>
      <c r="G4778" t="str">
        <f>"39"</f>
        <v>39</v>
      </c>
      <c r="H4778" t="str">
        <f>"1  "</f>
        <v xml:space="preserve">1  </v>
      </c>
      <c r="I4778" t="str">
        <f>"2018/01/09"</f>
        <v>2018/01/09</v>
      </c>
      <c r="J4778" t="str">
        <f>"503"</f>
        <v>503</v>
      </c>
      <c r="K4778" t="s">
        <v>18</v>
      </c>
      <c r="L4778" t="s">
        <v>18</v>
      </c>
      <c r="M4778" t="str">
        <f>"20180109"</f>
        <v>20180109</v>
      </c>
    </row>
    <row r="4779" spans="1:13" x14ac:dyDescent="0.25">
      <c r="A4779" t="str">
        <f>"00386189"</f>
        <v>00386189</v>
      </c>
      <c r="B4779" t="s">
        <v>4051</v>
      </c>
      <c r="C4779" t="s">
        <v>437</v>
      </c>
      <c r="D4779" t="s">
        <v>182</v>
      </c>
      <c r="E4779" t="s">
        <v>26</v>
      </c>
      <c r="F4779" t="s">
        <v>17</v>
      </c>
      <c r="G4779" t="str">
        <f>"39"</f>
        <v>39</v>
      </c>
      <c r="H4779" t="str">
        <f>"6  "</f>
        <v xml:space="preserve">6  </v>
      </c>
      <c r="I4779" t="str">
        <f>"2012/07/26"</f>
        <v>2012/07/26</v>
      </c>
      <c r="J4779" t="str">
        <f>"514"</f>
        <v>514</v>
      </c>
      <c r="K4779" t="s">
        <v>18</v>
      </c>
      <c r="L4779" t="s">
        <v>18</v>
      </c>
      <c r="M4779" t="str">
        <f>"20050610"</f>
        <v>20050610</v>
      </c>
    </row>
    <row r="4780" spans="1:13" x14ac:dyDescent="0.25">
      <c r="A4780" t="str">
        <f>"00627586"</f>
        <v>00627586</v>
      </c>
      <c r="B4780" t="s">
        <v>4063</v>
      </c>
      <c r="C4780" t="s">
        <v>4064</v>
      </c>
      <c r="D4780" t="s">
        <v>21</v>
      </c>
      <c r="E4780" t="s">
        <v>26</v>
      </c>
      <c r="F4780" t="s">
        <v>17</v>
      </c>
      <c r="G4780" t="str">
        <f>"39"</f>
        <v>39</v>
      </c>
      <c r="H4780" t="str">
        <f>"6  "</f>
        <v xml:space="preserve">6  </v>
      </c>
      <c r="I4780" t="str">
        <f>"2017/08/15"</f>
        <v>2017/08/15</v>
      </c>
      <c r="J4780" t="str">
        <f>"510"</f>
        <v>510</v>
      </c>
      <c r="K4780" t="s">
        <v>18</v>
      </c>
      <c r="L4780" t="s">
        <v>18</v>
      </c>
      <c r="M4780" t="str">
        <f>"20170815"</f>
        <v>20170815</v>
      </c>
    </row>
    <row r="4781" spans="1:13" x14ac:dyDescent="0.25">
      <c r="A4781" t="str">
        <f>"00525331"</f>
        <v>00525331</v>
      </c>
      <c r="B4781" t="s">
        <v>32</v>
      </c>
      <c r="C4781" t="s">
        <v>33</v>
      </c>
      <c r="D4781" t="s">
        <v>25</v>
      </c>
      <c r="E4781" t="s">
        <v>16</v>
      </c>
      <c r="F4781" t="s">
        <v>34</v>
      </c>
      <c r="G4781" t="str">
        <f>"98"</f>
        <v>98</v>
      </c>
      <c r="H4781" t="str">
        <f>"1  "</f>
        <v xml:space="preserve">1  </v>
      </c>
      <c r="I4781" t="str">
        <f>"2020/07/22"</f>
        <v>2020/07/22</v>
      </c>
      <c r="J4781" t="str">
        <f>"511"</f>
        <v>511</v>
      </c>
      <c r="K4781" t="str">
        <f>"20210111"</f>
        <v>20210111</v>
      </c>
      <c r="L4781" t="s">
        <v>18</v>
      </c>
      <c r="M4781" t="str">
        <f>"20200313"</f>
        <v>20200313</v>
      </c>
    </row>
    <row r="4782" spans="1:13" x14ac:dyDescent="0.25">
      <c r="A4782" t="str">
        <f>"00521961"</f>
        <v>00521961</v>
      </c>
      <c r="B4782" t="s">
        <v>930</v>
      </c>
      <c r="C4782" t="s">
        <v>74</v>
      </c>
      <c r="D4782" t="s">
        <v>15</v>
      </c>
      <c r="E4782" t="s">
        <v>16</v>
      </c>
      <c r="F4782" t="s">
        <v>17</v>
      </c>
      <c r="G4782" t="str">
        <f>"98"</f>
        <v>98</v>
      </c>
      <c r="H4782" t="str">
        <f>"3  "</f>
        <v xml:space="preserve">3  </v>
      </c>
      <c r="I4782" t="str">
        <f>"2008/05/25"</f>
        <v>2008/05/25</v>
      </c>
      <c r="J4782" t="str">
        <f>"505"</f>
        <v>505</v>
      </c>
      <c r="K4782" t="str">
        <f>"20090706"</f>
        <v>20090706</v>
      </c>
      <c r="L4782" t="s">
        <v>18</v>
      </c>
      <c r="M4782" t="str">
        <f>"20071011"</f>
        <v>20071011</v>
      </c>
    </row>
    <row r="4783" spans="1:13" x14ac:dyDescent="0.25">
      <c r="A4783" t="str">
        <f>"00515664"</f>
        <v>00515664</v>
      </c>
      <c r="B4783" t="s">
        <v>1020</v>
      </c>
      <c r="C4783" t="s">
        <v>755</v>
      </c>
      <c r="D4783" t="s">
        <v>15</v>
      </c>
      <c r="E4783" t="s">
        <v>26</v>
      </c>
      <c r="F4783" t="s">
        <v>17</v>
      </c>
      <c r="G4783" t="str">
        <f>"98"</f>
        <v>98</v>
      </c>
      <c r="H4783" t="str">
        <f>"1  "</f>
        <v xml:space="preserve">1  </v>
      </c>
      <c r="I4783" t="str">
        <f>"2010/08/12"</f>
        <v>2010/08/12</v>
      </c>
      <c r="J4783" t="str">
        <f>"505"</f>
        <v>505</v>
      </c>
      <c r="K4783" t="str">
        <f>"20101226"</f>
        <v>20101226</v>
      </c>
      <c r="L4783" t="s">
        <v>18</v>
      </c>
      <c r="M4783" t="str">
        <f>"20100217"</f>
        <v>20100217</v>
      </c>
    </row>
    <row r="4784" spans="1:13" x14ac:dyDescent="0.25">
      <c r="A4784" t="str">
        <f>"00338535"</f>
        <v>00338535</v>
      </c>
      <c r="B4784" t="s">
        <v>1650</v>
      </c>
      <c r="C4784" t="s">
        <v>1651</v>
      </c>
      <c r="D4784" t="s">
        <v>61</v>
      </c>
      <c r="E4784" t="s">
        <v>16</v>
      </c>
      <c r="F4784" t="s">
        <v>34</v>
      </c>
      <c r="G4784" t="str">
        <f>"98"</f>
        <v>98</v>
      </c>
      <c r="H4784" t="str">
        <f>"3  "</f>
        <v xml:space="preserve">3  </v>
      </c>
      <c r="I4784" t="str">
        <f>"2001/04/23"</f>
        <v>2001/04/23</v>
      </c>
      <c r="J4784" t="str">
        <f>"514"</f>
        <v>514</v>
      </c>
      <c r="K4784" t="str">
        <f>"20030629"</f>
        <v>20030629</v>
      </c>
      <c r="L4784" t="s">
        <v>18</v>
      </c>
      <c r="M4784" t="str">
        <f>"20001004"</f>
        <v>20001004</v>
      </c>
    </row>
    <row r="4785" spans="1:13" x14ac:dyDescent="0.25">
      <c r="A4785" t="str">
        <f>"00285428"</f>
        <v>00285428</v>
      </c>
      <c r="B4785" t="s">
        <v>1907</v>
      </c>
      <c r="C4785" t="s">
        <v>66</v>
      </c>
      <c r="D4785" t="s">
        <v>25</v>
      </c>
      <c r="E4785" t="s">
        <v>16</v>
      </c>
      <c r="F4785" t="s">
        <v>17</v>
      </c>
      <c r="G4785" t="str">
        <f>"98"</f>
        <v>98</v>
      </c>
      <c r="H4785" t="str">
        <f>"1  "</f>
        <v xml:space="preserve">1  </v>
      </c>
      <c r="I4785" t="str">
        <f>"1999/05/11"</f>
        <v>1999/05/11</v>
      </c>
      <c r="J4785" t="str">
        <f>"514"</f>
        <v>514</v>
      </c>
      <c r="K4785" t="str">
        <f>"19990630"</f>
        <v>19990630</v>
      </c>
      <c r="L4785" t="s">
        <v>18</v>
      </c>
      <c r="M4785" t="str">
        <f>"19980725"</f>
        <v>19980725</v>
      </c>
    </row>
    <row r="4786" spans="1:13" x14ac:dyDescent="0.25">
      <c r="A4786" t="str">
        <f>"00348029"</f>
        <v>00348029</v>
      </c>
      <c r="B4786" t="s">
        <v>2002</v>
      </c>
      <c r="C4786" t="s">
        <v>247</v>
      </c>
      <c r="D4786" t="s">
        <v>45</v>
      </c>
      <c r="E4786" t="s">
        <v>16</v>
      </c>
      <c r="F4786" t="s">
        <v>34</v>
      </c>
      <c r="G4786" t="str">
        <f>"98"</f>
        <v>98</v>
      </c>
      <c r="H4786" t="str">
        <f>"1  "</f>
        <v xml:space="preserve">1  </v>
      </c>
      <c r="I4786" t="str">
        <f>"2013/05/01"</f>
        <v>2013/05/01</v>
      </c>
      <c r="J4786" t="str">
        <f>"512"</f>
        <v>512</v>
      </c>
      <c r="K4786" t="str">
        <f>"20140430"</f>
        <v>20140430</v>
      </c>
      <c r="L4786" t="s">
        <v>18</v>
      </c>
      <c r="M4786" t="str">
        <f>"20130501"</f>
        <v>20130501</v>
      </c>
    </row>
    <row r="4787" spans="1:13" x14ac:dyDescent="0.25">
      <c r="A4787" t="str">
        <f>"00595616"</f>
        <v>00595616</v>
      </c>
      <c r="B4787" t="s">
        <v>2077</v>
      </c>
      <c r="C4787" t="s">
        <v>140</v>
      </c>
      <c r="D4787" t="s">
        <v>25</v>
      </c>
      <c r="E4787" t="s">
        <v>16</v>
      </c>
      <c r="F4787" t="s">
        <v>17</v>
      </c>
      <c r="G4787" t="str">
        <f>"98"</f>
        <v>98</v>
      </c>
      <c r="H4787" t="str">
        <f>"1  "</f>
        <v xml:space="preserve">1  </v>
      </c>
      <c r="I4787" t="str">
        <f>"2015/10/05"</f>
        <v>2015/10/05</v>
      </c>
      <c r="J4787" t="str">
        <f>"504"</f>
        <v>504</v>
      </c>
      <c r="K4787" t="str">
        <f>"20160110"</f>
        <v>20160110</v>
      </c>
      <c r="L4787" t="s">
        <v>18</v>
      </c>
      <c r="M4787" t="str">
        <f>"20150724"</f>
        <v>20150724</v>
      </c>
    </row>
    <row r="4788" spans="1:13" x14ac:dyDescent="0.25">
      <c r="A4788" t="str">
        <f>"00364459"</f>
        <v>00364459</v>
      </c>
      <c r="B4788" t="s">
        <v>2144</v>
      </c>
      <c r="C4788" t="s">
        <v>246</v>
      </c>
      <c r="D4788" t="s">
        <v>25</v>
      </c>
      <c r="E4788" t="s">
        <v>26</v>
      </c>
      <c r="F4788" t="s">
        <v>17</v>
      </c>
      <c r="G4788" t="str">
        <f>"98"</f>
        <v>98</v>
      </c>
      <c r="H4788" t="str">
        <f>"1  "</f>
        <v xml:space="preserve">1  </v>
      </c>
      <c r="I4788" t="str">
        <f>"2000/01/10"</f>
        <v>2000/01/10</v>
      </c>
      <c r="J4788" t="str">
        <f>"514"</f>
        <v>514</v>
      </c>
      <c r="K4788" t="str">
        <f>"20000609"</f>
        <v>20000609</v>
      </c>
      <c r="L4788" t="s">
        <v>18</v>
      </c>
      <c r="M4788" t="str">
        <f>"19991210"</f>
        <v>19991210</v>
      </c>
    </row>
    <row r="4789" spans="1:13" x14ac:dyDescent="0.25">
      <c r="A4789" t="str">
        <f>"00299555"</f>
        <v>00299555</v>
      </c>
      <c r="B4789" t="s">
        <v>2204</v>
      </c>
      <c r="C4789" t="s">
        <v>122</v>
      </c>
      <c r="D4789" t="s">
        <v>80</v>
      </c>
      <c r="E4789" t="s">
        <v>16</v>
      </c>
      <c r="F4789" t="s">
        <v>17</v>
      </c>
      <c r="G4789" t="str">
        <f>"98"</f>
        <v>98</v>
      </c>
      <c r="H4789" t="str">
        <f>"1  "</f>
        <v xml:space="preserve">1  </v>
      </c>
      <c r="I4789" t="str">
        <f>"2016/12/09"</f>
        <v>2016/12/09</v>
      </c>
      <c r="J4789" t="str">
        <f>"505"</f>
        <v>505</v>
      </c>
      <c r="K4789" t="str">
        <f>"20170414"</f>
        <v>20170414</v>
      </c>
      <c r="L4789" t="s">
        <v>18</v>
      </c>
      <c r="M4789" t="str">
        <f>"20161028"</f>
        <v>20161028</v>
      </c>
    </row>
    <row r="4790" spans="1:13" x14ac:dyDescent="0.25">
      <c r="A4790" t="str">
        <f>"00424683"</f>
        <v>00424683</v>
      </c>
      <c r="B4790" t="s">
        <v>2308</v>
      </c>
      <c r="C4790" t="s">
        <v>140</v>
      </c>
      <c r="D4790" t="s">
        <v>40</v>
      </c>
      <c r="E4790" t="s">
        <v>16</v>
      </c>
      <c r="F4790" t="s">
        <v>17</v>
      </c>
      <c r="G4790" t="str">
        <f>"98"</f>
        <v>98</v>
      </c>
      <c r="H4790" t="str">
        <f>"3  "</f>
        <v xml:space="preserve">3  </v>
      </c>
      <c r="I4790" t="str">
        <f>"2010/04/14"</f>
        <v>2010/04/14</v>
      </c>
      <c r="J4790" t="str">
        <f>"509"</f>
        <v>509</v>
      </c>
      <c r="K4790" t="str">
        <f>"20110412"</f>
        <v>20110412</v>
      </c>
      <c r="L4790" t="s">
        <v>18</v>
      </c>
      <c r="M4790" t="str">
        <f>"20090713"</f>
        <v>20090713</v>
      </c>
    </row>
    <row r="4791" spans="1:13" x14ac:dyDescent="0.25">
      <c r="A4791" t="str">
        <f>"00619201"</f>
        <v>00619201</v>
      </c>
      <c r="B4791" t="s">
        <v>2381</v>
      </c>
      <c r="C4791" t="s">
        <v>398</v>
      </c>
      <c r="D4791" t="s">
        <v>45</v>
      </c>
      <c r="E4791" t="s">
        <v>16</v>
      </c>
      <c r="F4791" t="s">
        <v>17</v>
      </c>
      <c r="G4791" t="str">
        <f>"98"</f>
        <v>98</v>
      </c>
      <c r="H4791" t="str">
        <f>"1  "</f>
        <v xml:space="preserve">1  </v>
      </c>
      <c r="I4791" t="str">
        <f>"2015/02/24"</f>
        <v>2015/02/24</v>
      </c>
      <c r="J4791" t="str">
        <f>"505"</f>
        <v>505</v>
      </c>
      <c r="K4791" t="str">
        <f>"20150608"</f>
        <v>20150608</v>
      </c>
      <c r="L4791" t="s">
        <v>18</v>
      </c>
      <c r="M4791" t="str">
        <f>"20141223"</f>
        <v>20141223</v>
      </c>
    </row>
    <row r="4792" spans="1:13" x14ac:dyDescent="0.25">
      <c r="A4792" t="str">
        <f>"00372393"</f>
        <v>00372393</v>
      </c>
      <c r="B4792" t="s">
        <v>2455</v>
      </c>
      <c r="C4792" t="s">
        <v>1835</v>
      </c>
      <c r="D4792" t="s">
        <v>31</v>
      </c>
      <c r="E4792" t="s">
        <v>16</v>
      </c>
      <c r="F4792" t="s">
        <v>34</v>
      </c>
      <c r="G4792" t="str">
        <f>"98"</f>
        <v>98</v>
      </c>
      <c r="H4792" t="str">
        <f>"3  "</f>
        <v xml:space="preserve">3  </v>
      </c>
      <c r="I4792" t="str">
        <f>"2000/09/20"</f>
        <v>2000/09/20</v>
      </c>
      <c r="J4792" t="str">
        <f>"514"</f>
        <v>514</v>
      </c>
      <c r="K4792" t="str">
        <f>"20020105"</f>
        <v>20020105</v>
      </c>
      <c r="L4792" t="s">
        <v>18</v>
      </c>
      <c r="M4792" t="str">
        <f>"20000817"</f>
        <v>20000817</v>
      </c>
    </row>
    <row r="4793" spans="1:13" x14ac:dyDescent="0.25">
      <c r="A4793" t="str">
        <f>"00272682"</f>
        <v>00272682</v>
      </c>
      <c r="B4793" t="s">
        <v>2615</v>
      </c>
      <c r="C4793" t="s">
        <v>2617</v>
      </c>
      <c r="D4793" t="s">
        <v>25</v>
      </c>
      <c r="E4793" t="s">
        <v>26</v>
      </c>
      <c r="F4793" t="s">
        <v>17</v>
      </c>
      <c r="G4793" t="str">
        <f>"98"</f>
        <v>98</v>
      </c>
      <c r="H4793" t="str">
        <f>"1  "</f>
        <v xml:space="preserve">1  </v>
      </c>
      <c r="I4793" t="str">
        <f>"2018/07/06"</f>
        <v>2018/07/06</v>
      </c>
      <c r="J4793" t="str">
        <f>"504"</f>
        <v>504</v>
      </c>
      <c r="K4793" t="str">
        <f>"20181008"</f>
        <v>20181008</v>
      </c>
      <c r="L4793" t="s">
        <v>18</v>
      </c>
      <c r="M4793" t="str">
        <f>"20180430"</f>
        <v>20180430</v>
      </c>
    </row>
    <row r="4794" spans="1:13" x14ac:dyDescent="0.25">
      <c r="A4794" t="str">
        <f>"00618456"</f>
        <v>00618456</v>
      </c>
      <c r="B4794" t="s">
        <v>2701</v>
      </c>
      <c r="C4794" t="s">
        <v>14</v>
      </c>
      <c r="D4794" t="s">
        <v>25</v>
      </c>
      <c r="E4794" t="s">
        <v>16</v>
      </c>
      <c r="F4794" t="s">
        <v>17</v>
      </c>
      <c r="G4794" t="str">
        <f>"98"</f>
        <v>98</v>
      </c>
      <c r="H4794" t="str">
        <f>"3  "</f>
        <v xml:space="preserve">3  </v>
      </c>
      <c r="I4794" t="str">
        <f>"2015/07/17"</f>
        <v>2015/07/17</v>
      </c>
      <c r="J4794" t="str">
        <f>"505"</f>
        <v>505</v>
      </c>
      <c r="K4794" t="str">
        <f>"20161023"</f>
        <v>20161023</v>
      </c>
      <c r="L4794" t="s">
        <v>18</v>
      </c>
      <c r="M4794" t="str">
        <f>"20150118"</f>
        <v>20150118</v>
      </c>
    </row>
    <row r="4795" spans="1:13" x14ac:dyDescent="0.25">
      <c r="A4795" t="str">
        <f>"00684689"</f>
        <v>00684689</v>
      </c>
      <c r="B4795" t="s">
        <v>2712</v>
      </c>
      <c r="C4795" t="s">
        <v>74</v>
      </c>
      <c r="D4795" t="s">
        <v>61</v>
      </c>
      <c r="E4795" t="s">
        <v>16</v>
      </c>
      <c r="F4795" t="s">
        <v>17</v>
      </c>
      <c r="G4795" t="str">
        <f>"98"</f>
        <v>98</v>
      </c>
      <c r="H4795" t="str">
        <f>"1  "</f>
        <v xml:space="preserve">1  </v>
      </c>
      <c r="I4795" t="str">
        <f>"2019/06/04"</f>
        <v>2019/06/04</v>
      </c>
      <c r="J4795" t="str">
        <f>"505"</f>
        <v>505</v>
      </c>
      <c r="K4795" t="str">
        <f>"20191105"</f>
        <v>20191105</v>
      </c>
      <c r="L4795" t="s">
        <v>18</v>
      </c>
      <c r="M4795" t="str">
        <f>"20190520"</f>
        <v>20190520</v>
      </c>
    </row>
    <row r="4796" spans="1:13" x14ac:dyDescent="0.25">
      <c r="A4796" t="str">
        <f>"00847657"</f>
        <v>00847657</v>
      </c>
      <c r="B4796" t="s">
        <v>2715</v>
      </c>
      <c r="C4796" t="s">
        <v>2716</v>
      </c>
      <c r="D4796" t="s">
        <v>25</v>
      </c>
      <c r="E4796" t="s">
        <v>26</v>
      </c>
      <c r="F4796" t="s">
        <v>17</v>
      </c>
      <c r="G4796" t="str">
        <f>"98"</f>
        <v>98</v>
      </c>
      <c r="H4796" t="str">
        <f>"1  "</f>
        <v xml:space="preserve">1  </v>
      </c>
      <c r="I4796" t="str">
        <f>"2020/03/09"</f>
        <v>2020/03/09</v>
      </c>
      <c r="J4796" t="str">
        <f>"504"</f>
        <v>504</v>
      </c>
      <c r="K4796" t="str">
        <f>"20200719"</f>
        <v>20200719</v>
      </c>
      <c r="L4796" t="s">
        <v>18</v>
      </c>
      <c r="M4796" t="str">
        <f>"20200203"</f>
        <v>20200203</v>
      </c>
    </row>
    <row r="4797" spans="1:13" x14ac:dyDescent="0.25">
      <c r="A4797" t="str">
        <f>"00366567"</f>
        <v>00366567</v>
      </c>
      <c r="B4797" t="s">
        <v>2802</v>
      </c>
      <c r="C4797" t="s">
        <v>211</v>
      </c>
      <c r="D4797" t="s">
        <v>26</v>
      </c>
      <c r="E4797" t="s">
        <v>16</v>
      </c>
      <c r="F4797" t="s">
        <v>17</v>
      </c>
      <c r="G4797" t="str">
        <f>"98"</f>
        <v>98</v>
      </c>
      <c r="H4797" t="str">
        <f>"3  "</f>
        <v xml:space="preserve">3  </v>
      </c>
      <c r="I4797" t="str">
        <f>"2009/02/23"</f>
        <v>2009/02/23</v>
      </c>
      <c r="J4797" t="str">
        <f>"512"</f>
        <v>512</v>
      </c>
      <c r="K4797" t="str">
        <f>"20110719"</f>
        <v>20110719</v>
      </c>
      <c r="L4797" t="s">
        <v>18</v>
      </c>
      <c r="M4797" t="str">
        <f>"20081120"</f>
        <v>20081120</v>
      </c>
    </row>
    <row r="4798" spans="1:13" x14ac:dyDescent="0.25">
      <c r="A4798" t="str">
        <f>"00528696"</f>
        <v>00528696</v>
      </c>
      <c r="B4798" t="s">
        <v>2808</v>
      </c>
      <c r="C4798" t="s">
        <v>59</v>
      </c>
      <c r="D4798" t="s">
        <v>25</v>
      </c>
      <c r="E4798" t="s">
        <v>26</v>
      </c>
      <c r="F4798" t="s">
        <v>17</v>
      </c>
      <c r="G4798" t="str">
        <f>"98"</f>
        <v>98</v>
      </c>
      <c r="H4798" t="str">
        <f>"1  "</f>
        <v xml:space="preserve">1  </v>
      </c>
      <c r="I4798" t="str">
        <f>"2019/06/06"</f>
        <v>2019/06/06</v>
      </c>
      <c r="J4798" t="str">
        <f>"504"</f>
        <v>504</v>
      </c>
      <c r="K4798" t="str">
        <f>"20190802"</f>
        <v>20190802</v>
      </c>
      <c r="L4798" t="s">
        <v>18</v>
      </c>
      <c r="M4798" t="str">
        <f>"20190416"</f>
        <v>20190416</v>
      </c>
    </row>
    <row r="4799" spans="1:13" x14ac:dyDescent="0.25">
      <c r="A4799" t="str">
        <f>"00885927"</f>
        <v>00885927</v>
      </c>
      <c r="B4799" t="s">
        <v>2842</v>
      </c>
      <c r="C4799" t="s">
        <v>308</v>
      </c>
      <c r="D4799" t="s">
        <v>25</v>
      </c>
      <c r="E4799" t="s">
        <v>16</v>
      </c>
      <c r="F4799" t="s">
        <v>17</v>
      </c>
      <c r="G4799" t="str">
        <f>"98"</f>
        <v>98</v>
      </c>
      <c r="H4799" t="str">
        <f>"1  "</f>
        <v xml:space="preserve">1  </v>
      </c>
      <c r="I4799" t="str">
        <f>"2020/04/02"</f>
        <v>2020/04/02</v>
      </c>
      <c r="J4799" t="str">
        <f>"504"</f>
        <v>504</v>
      </c>
      <c r="K4799" t="str">
        <f>"20200713"</f>
        <v>20200713</v>
      </c>
      <c r="L4799" t="s">
        <v>18</v>
      </c>
      <c r="M4799" t="str">
        <f>"20200131"</f>
        <v>20200131</v>
      </c>
    </row>
    <row r="4800" spans="1:13" x14ac:dyDescent="0.25">
      <c r="A4800" t="str">
        <f>"00721521"</f>
        <v>00721521</v>
      </c>
      <c r="B4800" t="s">
        <v>2971</v>
      </c>
      <c r="C4800" t="s">
        <v>2974</v>
      </c>
      <c r="D4800" t="s">
        <v>25</v>
      </c>
      <c r="E4800" t="s">
        <v>26</v>
      </c>
      <c r="F4800" t="s">
        <v>34</v>
      </c>
      <c r="G4800" t="str">
        <f>"98"</f>
        <v>98</v>
      </c>
      <c r="H4800" t="str">
        <f>"1  "</f>
        <v xml:space="preserve">1  </v>
      </c>
      <c r="I4800" t="str">
        <f>"2019/09/10"</f>
        <v>2019/09/10</v>
      </c>
      <c r="J4800" t="str">
        <f>"511"</f>
        <v>511</v>
      </c>
      <c r="K4800" t="str">
        <f>"20191109"</f>
        <v>20191109</v>
      </c>
      <c r="L4800" t="s">
        <v>18</v>
      </c>
      <c r="M4800" t="str">
        <f>"20190524"</f>
        <v>20190524</v>
      </c>
    </row>
    <row r="4801" spans="1:13" x14ac:dyDescent="0.25">
      <c r="A4801" t="str">
        <f>"00290145"</f>
        <v>00290145</v>
      </c>
      <c r="B4801" t="s">
        <v>3051</v>
      </c>
      <c r="C4801" t="s">
        <v>169</v>
      </c>
      <c r="D4801" t="s">
        <v>40</v>
      </c>
      <c r="E4801" t="s">
        <v>16</v>
      </c>
      <c r="F4801" t="s">
        <v>17</v>
      </c>
      <c r="G4801" t="str">
        <f>"98"</f>
        <v>98</v>
      </c>
      <c r="H4801" t="str">
        <f>"1  "</f>
        <v xml:space="preserve">1  </v>
      </c>
      <c r="I4801" t="str">
        <f>"2019/03/21"</f>
        <v>2019/03/21</v>
      </c>
      <c r="J4801" t="str">
        <f>"504"</f>
        <v>504</v>
      </c>
      <c r="K4801" t="str">
        <f>"20200218"</f>
        <v>20200218</v>
      </c>
      <c r="L4801" t="s">
        <v>18</v>
      </c>
      <c r="M4801" t="str">
        <f>"20190314"</f>
        <v>20190314</v>
      </c>
    </row>
    <row r="4802" spans="1:13" x14ac:dyDescent="0.25">
      <c r="A4802" t="str">
        <f>"00266411"</f>
        <v>00266411</v>
      </c>
      <c r="B4802" t="s">
        <v>3191</v>
      </c>
      <c r="C4802" t="s">
        <v>213</v>
      </c>
      <c r="D4802" t="s">
        <v>25</v>
      </c>
      <c r="E4802" t="s">
        <v>26</v>
      </c>
      <c r="F4802" t="s">
        <v>17</v>
      </c>
      <c r="G4802" t="str">
        <f>"98"</f>
        <v>98</v>
      </c>
      <c r="H4802" t="str">
        <f>"1  "</f>
        <v xml:space="preserve">1  </v>
      </c>
      <c r="I4802" t="str">
        <f>"1997/09/16"</f>
        <v>1997/09/16</v>
      </c>
      <c r="J4802" t="str">
        <f>"514"</f>
        <v>514</v>
      </c>
      <c r="K4802" t="str">
        <f>"19980204"</f>
        <v>19980204</v>
      </c>
      <c r="L4802" t="s">
        <v>18</v>
      </c>
      <c r="M4802" t="str">
        <f>"19970823"</f>
        <v>19970823</v>
      </c>
    </row>
    <row r="4803" spans="1:13" x14ac:dyDescent="0.25">
      <c r="A4803" t="str">
        <f>"00690244"</f>
        <v>00690244</v>
      </c>
      <c r="B4803" t="s">
        <v>3307</v>
      </c>
      <c r="C4803" t="s">
        <v>3308</v>
      </c>
      <c r="D4803" t="s">
        <v>25</v>
      </c>
      <c r="E4803" t="s">
        <v>26</v>
      </c>
      <c r="F4803" t="s">
        <v>34</v>
      </c>
      <c r="G4803" t="str">
        <f>"98"</f>
        <v>98</v>
      </c>
      <c r="H4803" t="str">
        <f>"1  "</f>
        <v xml:space="preserve">1  </v>
      </c>
      <c r="I4803" t="str">
        <f>"2020/01/23"</f>
        <v>2020/01/23</v>
      </c>
      <c r="J4803" t="str">
        <f>"511"</f>
        <v>511</v>
      </c>
      <c r="K4803" t="str">
        <f>"20200325"</f>
        <v>20200325</v>
      </c>
      <c r="L4803" t="s">
        <v>18</v>
      </c>
      <c r="M4803" t="str">
        <f>"20191012"</f>
        <v>20191012</v>
      </c>
    </row>
    <row r="4804" spans="1:13" x14ac:dyDescent="0.25">
      <c r="A4804" t="str">
        <f>"00257090"</f>
        <v>00257090</v>
      </c>
      <c r="B4804" t="s">
        <v>3360</v>
      </c>
      <c r="C4804" t="s">
        <v>364</v>
      </c>
      <c r="D4804" t="s">
        <v>80</v>
      </c>
      <c r="E4804" t="s">
        <v>16</v>
      </c>
      <c r="F4804" t="s">
        <v>17</v>
      </c>
      <c r="G4804" t="str">
        <f>"98"</f>
        <v>98</v>
      </c>
      <c r="H4804" t="str">
        <f>"4  "</f>
        <v xml:space="preserve">4  </v>
      </c>
      <c r="I4804" t="str">
        <f>"1994/05/21"</f>
        <v>1994/05/21</v>
      </c>
      <c r="J4804" t="str">
        <f>"512"</f>
        <v>512</v>
      </c>
      <c r="K4804" t="str">
        <f>"19941217"</f>
        <v>19941217</v>
      </c>
      <c r="L4804" t="s">
        <v>18</v>
      </c>
      <c r="M4804" t="str">
        <f>"19930701"</f>
        <v>19930701</v>
      </c>
    </row>
    <row r="4805" spans="1:13" x14ac:dyDescent="0.25">
      <c r="A4805" t="str">
        <f>"00270018"</f>
        <v>00270018</v>
      </c>
      <c r="B4805" t="s">
        <v>3414</v>
      </c>
      <c r="C4805" t="s">
        <v>169</v>
      </c>
      <c r="D4805" t="s">
        <v>40</v>
      </c>
      <c r="E4805" t="s">
        <v>16</v>
      </c>
      <c r="F4805" t="s">
        <v>17</v>
      </c>
      <c r="G4805" t="str">
        <f>"98"</f>
        <v>98</v>
      </c>
      <c r="H4805" t="str">
        <f>"1  "</f>
        <v xml:space="preserve">1  </v>
      </c>
      <c r="I4805" t="str">
        <f>"2016/04/19"</f>
        <v>2016/04/19</v>
      </c>
      <c r="J4805" t="str">
        <f>"505"</f>
        <v>505</v>
      </c>
      <c r="K4805" t="str">
        <f>"20160626"</f>
        <v>20160626</v>
      </c>
      <c r="L4805" t="s">
        <v>18</v>
      </c>
      <c r="M4805" t="str">
        <f>"20160109"</f>
        <v>20160109</v>
      </c>
    </row>
    <row r="4806" spans="1:13" x14ac:dyDescent="0.25">
      <c r="A4806" t="str">
        <f>"00183809"</f>
        <v>00183809</v>
      </c>
      <c r="B4806" t="s">
        <v>3498</v>
      </c>
      <c r="C4806" t="s">
        <v>358</v>
      </c>
      <c r="D4806" t="s">
        <v>40</v>
      </c>
      <c r="E4806" t="s">
        <v>26</v>
      </c>
      <c r="F4806" t="s">
        <v>17</v>
      </c>
      <c r="G4806" t="str">
        <f>"98"</f>
        <v>98</v>
      </c>
      <c r="H4806" t="str">
        <f>"2  "</f>
        <v xml:space="preserve">2  </v>
      </c>
      <c r="I4806" t="str">
        <f>"1997/12/08"</f>
        <v>1997/12/08</v>
      </c>
      <c r="J4806" t="str">
        <f>"514"</f>
        <v>514</v>
      </c>
      <c r="K4806" t="str">
        <f>"19980317"</f>
        <v>19980317</v>
      </c>
      <c r="L4806" t="s">
        <v>18</v>
      </c>
      <c r="M4806" t="str">
        <f>"19970930"</f>
        <v>19970930</v>
      </c>
    </row>
    <row r="4807" spans="1:13" x14ac:dyDescent="0.25">
      <c r="A4807" t="str">
        <f>"00607367"</f>
        <v>00607367</v>
      </c>
      <c r="B4807" t="s">
        <v>3589</v>
      </c>
      <c r="C4807" t="s">
        <v>3590</v>
      </c>
      <c r="D4807" t="s">
        <v>142</v>
      </c>
      <c r="E4807" t="s">
        <v>26</v>
      </c>
      <c r="F4807" t="s">
        <v>17</v>
      </c>
      <c r="G4807" t="str">
        <f>"98"</f>
        <v>98</v>
      </c>
      <c r="H4807" t="str">
        <f>"1  "</f>
        <v xml:space="preserve">1  </v>
      </c>
      <c r="I4807" t="str">
        <f>"2019/01/21"</f>
        <v>2019/01/21</v>
      </c>
      <c r="J4807" t="str">
        <f>"505"</f>
        <v>505</v>
      </c>
      <c r="K4807" t="str">
        <f>"20190315"</f>
        <v>20190315</v>
      </c>
      <c r="L4807" t="s">
        <v>18</v>
      </c>
      <c r="M4807" t="str">
        <f>"20181012"</f>
        <v>20181012</v>
      </c>
    </row>
    <row r="4808" spans="1:13" x14ac:dyDescent="0.25">
      <c r="A4808" t="str">
        <f>"00592757"</f>
        <v>00592757</v>
      </c>
      <c r="B4808" t="s">
        <v>4027</v>
      </c>
      <c r="C4808" t="s">
        <v>437</v>
      </c>
      <c r="D4808" t="s">
        <v>215</v>
      </c>
      <c r="E4808" t="s">
        <v>26</v>
      </c>
      <c r="F4808" t="s">
        <v>17</v>
      </c>
      <c r="G4808" t="str">
        <f>"98"</f>
        <v>98</v>
      </c>
      <c r="H4808" t="str">
        <f>"1  "</f>
        <v xml:space="preserve">1  </v>
      </c>
      <c r="I4808" t="str">
        <f>"2018/08/12"</f>
        <v>2018/08/12</v>
      </c>
      <c r="J4808" t="str">
        <f>"504"</f>
        <v>504</v>
      </c>
      <c r="K4808" t="str">
        <f>"20181010"</f>
        <v>20181010</v>
      </c>
      <c r="L4808" t="s">
        <v>18</v>
      </c>
      <c r="M4808" t="str">
        <f>"20180511"</f>
        <v>20180511</v>
      </c>
    </row>
    <row r="4809" spans="1:13" x14ac:dyDescent="0.25">
      <c r="A4809" t="str">
        <f>"00100753"</f>
        <v>00100753</v>
      </c>
      <c r="B4809" t="s">
        <v>622</v>
      </c>
      <c r="C4809" t="s">
        <v>333</v>
      </c>
      <c r="D4809" t="s">
        <v>51</v>
      </c>
      <c r="E4809" t="s">
        <v>26</v>
      </c>
      <c r="F4809" t="s">
        <v>17</v>
      </c>
      <c r="G4809" t="str">
        <f>"99"</f>
        <v>99</v>
      </c>
      <c r="H4809" t="str">
        <f>"3  "</f>
        <v xml:space="preserve">3  </v>
      </c>
      <c r="I4809" t="str">
        <f>"1971/06/01"</f>
        <v>1971/06/01</v>
      </c>
      <c r="J4809" t="str">
        <f>"503"</f>
        <v>503</v>
      </c>
      <c r="K4809" t="str">
        <f>"19711221"</f>
        <v>19711221</v>
      </c>
      <c r="L4809" t="str">
        <f>"19701204"</f>
        <v>19701204</v>
      </c>
      <c r="M4809" t="str">
        <f>"19700514"</f>
        <v>19700514</v>
      </c>
    </row>
    <row r="4810" spans="1:13" x14ac:dyDescent="0.25">
      <c r="A4810" t="str">
        <f>"00092544"</f>
        <v>00092544</v>
      </c>
      <c r="B4810" t="s">
        <v>705</v>
      </c>
      <c r="C4810" t="s">
        <v>118</v>
      </c>
      <c r="D4810" t="s">
        <v>26</v>
      </c>
      <c r="E4810" t="s">
        <v>16</v>
      </c>
      <c r="F4810" t="s">
        <v>17</v>
      </c>
      <c r="G4810" t="str">
        <f>"99"</f>
        <v>99</v>
      </c>
      <c r="H4810" t="str">
        <f>"4  "</f>
        <v xml:space="preserve">4  </v>
      </c>
      <c r="I4810" t="str">
        <f>"1971/12/17"</f>
        <v>1971/12/17</v>
      </c>
      <c r="J4810" t="str">
        <f>"503"</f>
        <v>503</v>
      </c>
      <c r="K4810" t="str">
        <f>"19770409"</f>
        <v>19770409</v>
      </c>
      <c r="L4810" t="str">
        <f>"19720620"</f>
        <v>19720620</v>
      </c>
      <c r="M4810" t="str">
        <f>"19701211"</f>
        <v>19701211</v>
      </c>
    </row>
    <row r="4811" spans="1:13" x14ac:dyDescent="0.25">
      <c r="A4811" t="str">
        <f>"00093556"</f>
        <v>00093556</v>
      </c>
      <c r="B4811" t="s">
        <v>771</v>
      </c>
      <c r="C4811" t="s">
        <v>159</v>
      </c>
      <c r="D4811" t="s">
        <v>45</v>
      </c>
      <c r="E4811" t="s">
        <v>16</v>
      </c>
      <c r="F4811" t="s">
        <v>17</v>
      </c>
      <c r="G4811" t="str">
        <f>"99"</f>
        <v>99</v>
      </c>
      <c r="H4811" t="str">
        <f>"4  "</f>
        <v xml:space="preserve">4  </v>
      </c>
      <c r="I4811" t="str">
        <f>"1978/09/20"</f>
        <v>1978/09/20</v>
      </c>
      <c r="J4811" t="str">
        <f>"503"</f>
        <v>503</v>
      </c>
      <c r="K4811" t="str">
        <f>"19800604"</f>
        <v>19800604</v>
      </c>
      <c r="L4811" t="str">
        <f>"19790102"</f>
        <v>19790102</v>
      </c>
      <c r="M4811" t="str">
        <f>"19780212"</f>
        <v>19780212</v>
      </c>
    </row>
    <row r="4812" spans="1:13" x14ac:dyDescent="0.25">
      <c r="A4812" t="str">
        <f>"00107432"</f>
        <v>00107432</v>
      </c>
      <c r="B4812" t="s">
        <v>1485</v>
      </c>
      <c r="C4812" t="s">
        <v>55</v>
      </c>
      <c r="D4812" t="s">
        <v>51</v>
      </c>
      <c r="E4812" t="s">
        <v>16</v>
      </c>
      <c r="F4812" t="s">
        <v>17</v>
      </c>
      <c r="G4812" t="str">
        <f>"99"</f>
        <v>99</v>
      </c>
      <c r="H4812" t="str">
        <f>"4  "</f>
        <v xml:space="preserve">4  </v>
      </c>
      <c r="I4812" t="str">
        <f>"1991/04/27"</f>
        <v>1991/04/27</v>
      </c>
      <c r="J4812" t="str">
        <f>"512"</f>
        <v>512</v>
      </c>
      <c r="K4812" t="str">
        <f>"19941004"</f>
        <v>19941004</v>
      </c>
      <c r="L4812" t="str">
        <f>"19860508"</f>
        <v>19860508</v>
      </c>
      <c r="M4812" t="str">
        <f>"19810212"</f>
        <v>19810212</v>
      </c>
    </row>
    <row r="4813" spans="1:13" x14ac:dyDescent="0.25">
      <c r="A4813" t="str">
        <f>"00128302"</f>
        <v>00128302</v>
      </c>
      <c r="B4813" t="s">
        <v>1736</v>
      </c>
      <c r="C4813" t="s">
        <v>1737</v>
      </c>
      <c r="D4813" t="s">
        <v>15</v>
      </c>
      <c r="E4813" t="s">
        <v>16</v>
      </c>
      <c r="F4813" t="s">
        <v>17</v>
      </c>
      <c r="G4813" t="str">
        <f>"99"</f>
        <v>99</v>
      </c>
      <c r="H4813" t="str">
        <f>"0  "</f>
        <v xml:space="preserve">0  </v>
      </c>
      <c r="I4813" t="str">
        <f>"1975/03/24"</f>
        <v>1975/03/24</v>
      </c>
      <c r="J4813" t="str">
        <f>"502"</f>
        <v>502</v>
      </c>
      <c r="K4813" t="s">
        <v>18</v>
      </c>
      <c r="L4813" t="s">
        <v>18</v>
      </c>
      <c r="M4813" t="str">
        <f>"19750324"</f>
        <v>19750324</v>
      </c>
    </row>
    <row r="4814" spans="1:13" x14ac:dyDescent="0.25">
      <c r="A4814" t="str">
        <f>"00124123"</f>
        <v>00124123</v>
      </c>
      <c r="B4814" t="s">
        <v>1840</v>
      </c>
      <c r="C4814" t="s">
        <v>536</v>
      </c>
      <c r="D4814" t="s">
        <v>31</v>
      </c>
      <c r="E4814" t="s">
        <v>26</v>
      </c>
      <c r="F4814" t="s">
        <v>17</v>
      </c>
      <c r="G4814" t="str">
        <f>"99"</f>
        <v>99</v>
      </c>
      <c r="H4814" t="str">
        <f>"3  "</f>
        <v xml:space="preserve">3  </v>
      </c>
      <c r="I4814" t="str">
        <f>"1980/12/24"</f>
        <v>1980/12/24</v>
      </c>
      <c r="J4814" t="str">
        <f>"502"</f>
        <v>502</v>
      </c>
      <c r="K4814" t="str">
        <f>"20021027"</f>
        <v>20021027</v>
      </c>
      <c r="L4814" t="str">
        <f>"19860507"</f>
        <v>19860507</v>
      </c>
      <c r="M4814" t="str">
        <f>"19760511"</f>
        <v>19760511</v>
      </c>
    </row>
    <row r="4815" spans="1:13" x14ac:dyDescent="0.25">
      <c r="A4815" t="str">
        <f>"00202999"</f>
        <v>00202999</v>
      </c>
      <c r="B4815" t="s">
        <v>3708</v>
      </c>
      <c r="C4815" t="s">
        <v>3709</v>
      </c>
      <c r="D4815" t="s">
        <v>16</v>
      </c>
      <c r="E4815" t="s">
        <v>16</v>
      </c>
      <c r="F4815" t="s">
        <v>17</v>
      </c>
      <c r="G4815" t="str">
        <f>"99"</f>
        <v>99</v>
      </c>
      <c r="H4815" t="str">
        <f>"1  "</f>
        <v xml:space="preserve">1  </v>
      </c>
      <c r="I4815" t="str">
        <f>"1994/12/29"</f>
        <v>1994/12/29</v>
      </c>
      <c r="J4815" t="str">
        <f>"512"</f>
        <v>512</v>
      </c>
      <c r="K4815" t="str">
        <f>"19950101"</f>
        <v>19950101</v>
      </c>
      <c r="L4815" t="s">
        <v>18</v>
      </c>
      <c r="M4815" t="str">
        <f>"19940221"</f>
        <v>19940221</v>
      </c>
    </row>
  </sheetData>
  <sortState xmlns:xlrd2="http://schemas.microsoft.com/office/spreadsheetml/2017/richdata2" ref="A2:M4836">
    <sortCondition ref="G2:G48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inmatelocatorreport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Sage, Melissa (ODS)</cp:lastModifiedBy>
  <dcterms:created xsi:type="dcterms:W3CDTF">2020-09-23T12:48:00Z</dcterms:created>
  <dcterms:modified xsi:type="dcterms:W3CDTF">2020-09-23T12:48:00Z</dcterms:modified>
</cp:coreProperties>
</file>